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60" yWindow="2640" windowWidth="14310" windowHeight="6420"/>
  </bookViews>
  <sheets>
    <sheet name="nové náklady bez připojených" sheetId="24" r:id="rId1"/>
  </sheets>
  <definedNames>
    <definedName name="_xlnm.Print_Area" localSheetId="0">'nové náklady bez připojených'!$A$1:$N$333</definedName>
  </definedNames>
  <calcPr calcId="145621"/>
</workbook>
</file>

<file path=xl/calcChain.xml><?xml version="1.0" encoding="utf-8"?>
<calcChain xmlns="http://schemas.openxmlformats.org/spreadsheetml/2006/main">
  <c r="L330" i="24" l="1"/>
  <c r="A326" i="24" l="1"/>
  <c r="F254" i="24"/>
  <c r="J250" i="24"/>
  <c r="J249" i="24"/>
  <c r="J248" i="24"/>
  <c r="J247" i="24"/>
  <c r="J205" i="24"/>
  <c r="J204" i="24"/>
  <c r="J203" i="24"/>
  <c r="J202" i="24"/>
  <c r="J168" i="24"/>
  <c r="J167" i="24"/>
  <c r="J166" i="24"/>
  <c r="J165" i="24"/>
  <c r="J164" i="24"/>
  <c r="J162" i="24"/>
  <c r="J157" i="24"/>
  <c r="J163" i="24"/>
  <c r="J161" i="24"/>
  <c r="J160" i="24"/>
  <c r="J159" i="24"/>
  <c r="J158" i="24"/>
  <c r="J156" i="24"/>
  <c r="J155" i="24"/>
  <c r="J154" i="24"/>
  <c r="J153" i="24"/>
  <c r="J152" i="24"/>
  <c r="J151" i="24"/>
  <c r="J150" i="24"/>
  <c r="J149" i="24"/>
  <c r="F131" i="24"/>
  <c r="J87" i="24"/>
  <c r="J86" i="24"/>
  <c r="J85" i="24"/>
  <c r="J84" i="24"/>
  <c r="J83" i="24"/>
  <c r="J67" i="24"/>
  <c r="J66" i="24"/>
  <c r="J65" i="24"/>
  <c r="J64" i="24"/>
  <c r="J63" i="24"/>
  <c r="J33" i="24"/>
  <c r="J32" i="24"/>
  <c r="J31" i="24"/>
  <c r="J30" i="24"/>
  <c r="A330" i="24"/>
  <c r="A328" i="24"/>
  <c r="A329" i="24" s="1"/>
  <c r="A327" i="24"/>
  <c r="J321" i="24"/>
  <c r="I320" i="24"/>
  <c r="I319" i="24"/>
  <c r="I318" i="24"/>
  <c r="I317" i="24"/>
  <c r="I315" i="24"/>
  <c r="I314" i="24"/>
  <c r="I313" i="24"/>
  <c r="I312" i="24"/>
  <c r="I311" i="24"/>
  <c r="I310" i="24"/>
  <c r="I309" i="24"/>
  <c r="F308" i="24"/>
  <c r="I308" i="24" s="1"/>
  <c r="I307" i="24"/>
  <c r="I306" i="24"/>
  <c r="I305" i="24"/>
  <c r="F304" i="24"/>
  <c r="I304" i="24" s="1"/>
  <c r="I303" i="24"/>
  <c r="I302" i="24"/>
  <c r="I301" i="24"/>
  <c r="F300" i="24"/>
  <c r="F323" i="24" s="1"/>
  <c r="F293" i="24"/>
  <c r="J290" i="24"/>
  <c r="J289" i="24"/>
  <c r="J288" i="24"/>
  <c r="J291" i="24" s="1"/>
  <c r="J292" i="24" s="1"/>
  <c r="J293" i="24" s="1"/>
  <c r="F287" i="24"/>
  <c r="I287" i="24" s="1"/>
  <c r="I291" i="24" s="1"/>
  <c r="J279" i="24"/>
  <c r="I277" i="24"/>
  <c r="I276" i="24"/>
  <c r="F274" i="24"/>
  <c r="F275" i="24" s="1"/>
  <c r="I275" i="24" s="1"/>
  <c r="I273" i="24"/>
  <c r="I272" i="24"/>
  <c r="I270" i="24"/>
  <c r="F270" i="24"/>
  <c r="F271" i="24" s="1"/>
  <c r="I271" i="24" s="1"/>
  <c r="I269" i="24"/>
  <c r="I268" i="24"/>
  <c r="F266" i="24"/>
  <c r="F267" i="24" s="1"/>
  <c r="I267" i="24" s="1"/>
  <c r="I265" i="24"/>
  <c r="I264" i="24"/>
  <c r="I262" i="24"/>
  <c r="F262" i="24"/>
  <c r="F263" i="24" s="1"/>
  <c r="I246" i="24"/>
  <c r="I245" i="24"/>
  <c r="I244" i="24"/>
  <c r="I243" i="24"/>
  <c r="I242" i="24"/>
  <c r="I241" i="24"/>
  <c r="I240" i="24"/>
  <c r="I239" i="24"/>
  <c r="I238" i="24"/>
  <c r="I237" i="24"/>
  <c r="I236" i="24"/>
  <c r="I235" i="24"/>
  <c r="I234" i="24"/>
  <c r="I233" i="24"/>
  <c r="I232" i="24"/>
  <c r="J231" i="24"/>
  <c r="J230" i="24"/>
  <c r="J229" i="24"/>
  <c r="J228" i="24"/>
  <c r="J227" i="24"/>
  <c r="I226" i="24"/>
  <c r="I225" i="24"/>
  <c r="I224" i="24"/>
  <c r="I223" i="24"/>
  <c r="I222" i="24"/>
  <c r="I221" i="24"/>
  <c r="I220" i="24"/>
  <c r="I219" i="24"/>
  <c r="I218" i="24"/>
  <c r="F217" i="24"/>
  <c r="I217" i="24" s="1"/>
  <c r="I216" i="24"/>
  <c r="I215" i="24"/>
  <c r="I214" i="24"/>
  <c r="I213" i="24"/>
  <c r="F212" i="24"/>
  <c r="I212" i="24" s="1"/>
  <c r="J211" i="24"/>
  <c r="J210" i="24"/>
  <c r="J209" i="24"/>
  <c r="J208" i="24"/>
  <c r="J207" i="24"/>
  <c r="J201" i="24"/>
  <c r="J200" i="24"/>
  <c r="J199" i="24"/>
  <c r="J198" i="24"/>
  <c r="I197" i="24"/>
  <c r="I196" i="24"/>
  <c r="I195" i="24"/>
  <c r="I194" i="24"/>
  <c r="I193" i="24"/>
  <c r="I192" i="24"/>
  <c r="I191" i="24"/>
  <c r="F190" i="24"/>
  <c r="I190" i="24" s="1"/>
  <c r="I189" i="24"/>
  <c r="I188" i="24"/>
  <c r="I187" i="24"/>
  <c r="I186" i="24"/>
  <c r="F186" i="24"/>
  <c r="I185" i="24"/>
  <c r="I184" i="24"/>
  <c r="I183" i="24"/>
  <c r="I182" i="24"/>
  <c r="I181" i="24"/>
  <c r="I180" i="24"/>
  <c r="I179" i="24"/>
  <c r="I178" i="24"/>
  <c r="I177" i="24"/>
  <c r="I176" i="24"/>
  <c r="I175" i="24"/>
  <c r="F174" i="24"/>
  <c r="F255" i="24" s="1"/>
  <c r="J173" i="24"/>
  <c r="J172" i="24"/>
  <c r="J171" i="24"/>
  <c r="J170" i="24"/>
  <c r="I148" i="24"/>
  <c r="I147" i="24"/>
  <c r="I146" i="24"/>
  <c r="I145" i="24"/>
  <c r="I144" i="24"/>
  <c r="I143" i="24"/>
  <c r="I142" i="24"/>
  <c r="I141" i="24"/>
  <c r="I140" i="24"/>
  <c r="I139" i="24"/>
  <c r="I127" i="24"/>
  <c r="I126" i="24"/>
  <c r="I125" i="24"/>
  <c r="I124" i="24"/>
  <c r="I123" i="24"/>
  <c r="I122" i="24"/>
  <c r="I121" i="24"/>
  <c r="I120" i="24"/>
  <c r="I119" i="24"/>
  <c r="F118" i="24"/>
  <c r="I118" i="24" s="1"/>
  <c r="I117" i="24"/>
  <c r="I116" i="24"/>
  <c r="I115" i="24"/>
  <c r="I114" i="24"/>
  <c r="F113" i="24"/>
  <c r="I113" i="24" s="1"/>
  <c r="I112" i="24"/>
  <c r="I111" i="24"/>
  <c r="I110" i="24"/>
  <c r="I109" i="24"/>
  <c r="F108" i="24"/>
  <c r="I108" i="24" s="1"/>
  <c r="I107" i="24"/>
  <c r="I106" i="24"/>
  <c r="I105" i="24"/>
  <c r="I104" i="24"/>
  <c r="I103" i="24"/>
  <c r="F103" i="24"/>
  <c r="I102" i="24"/>
  <c r="I101" i="24"/>
  <c r="I100" i="24"/>
  <c r="I99" i="24"/>
  <c r="F98" i="24"/>
  <c r="I98" i="24" s="1"/>
  <c r="I97" i="24"/>
  <c r="I96" i="24"/>
  <c r="I95" i="24"/>
  <c r="I94" i="24"/>
  <c r="F93" i="24"/>
  <c r="I93" i="24" s="1"/>
  <c r="I92" i="24"/>
  <c r="I91" i="24"/>
  <c r="I90" i="24"/>
  <c r="I89" i="24"/>
  <c r="F88" i="24"/>
  <c r="I88" i="24" s="1"/>
  <c r="I82" i="24"/>
  <c r="I81" i="24"/>
  <c r="I80" i="24"/>
  <c r="I79" i="24"/>
  <c r="I78" i="24"/>
  <c r="F78" i="24"/>
  <c r="I77" i="24"/>
  <c r="I76" i="24"/>
  <c r="I75" i="24"/>
  <c r="I74" i="24"/>
  <c r="F73" i="24"/>
  <c r="I73" i="24" s="1"/>
  <c r="I72" i="24"/>
  <c r="I71" i="24"/>
  <c r="I70" i="24"/>
  <c r="I69" i="24"/>
  <c r="F68" i="24"/>
  <c r="I68" i="24" s="1"/>
  <c r="I62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29" i="24"/>
  <c r="I28" i="24"/>
  <c r="I27" i="24"/>
  <c r="I26" i="24"/>
  <c r="J25" i="24"/>
  <c r="J24" i="24"/>
  <c r="J23" i="24"/>
  <c r="J22" i="24"/>
  <c r="J21" i="24"/>
  <c r="J20" i="24"/>
  <c r="J19" i="24"/>
  <c r="J18" i="24"/>
  <c r="I17" i="24"/>
  <c r="I16" i="24"/>
  <c r="I15" i="24"/>
  <c r="F14" i="24"/>
  <c r="F132" i="24" s="1"/>
  <c r="I13" i="24"/>
  <c r="I12" i="24"/>
  <c r="I11" i="24"/>
  <c r="H10" i="24"/>
  <c r="F10" i="24"/>
  <c r="I9" i="24"/>
  <c r="I8" i="24"/>
  <c r="I7" i="24"/>
  <c r="I6" i="24"/>
  <c r="I14" i="24" l="1"/>
  <c r="J128" i="24"/>
  <c r="J129" i="24" s="1"/>
  <c r="I174" i="24"/>
  <c r="I251" i="24" s="1"/>
  <c r="I252" i="24" s="1"/>
  <c r="I300" i="24"/>
  <c r="I321" i="24" s="1"/>
  <c r="I10" i="24"/>
  <c r="F332" i="24"/>
  <c r="J251" i="24"/>
  <c r="J252" i="24" s="1"/>
  <c r="J131" i="24"/>
  <c r="K291" i="24"/>
  <c r="I128" i="24"/>
  <c r="I323" i="24"/>
  <c r="I322" i="24"/>
  <c r="K321" i="24"/>
  <c r="F280" i="24"/>
  <c r="F253" i="24"/>
  <c r="F130" i="24"/>
  <c r="F333" i="24"/>
  <c r="I266" i="24"/>
  <c r="I263" i="24" s="1"/>
  <c r="I274" i="24"/>
  <c r="J322" i="24"/>
  <c r="I253" i="24" l="1"/>
  <c r="I278" i="24"/>
  <c r="F331" i="24"/>
  <c r="J327" i="24"/>
  <c r="J329" i="24" s="1"/>
  <c r="J254" i="24"/>
  <c r="K251" i="24"/>
  <c r="I280" i="24"/>
  <c r="I279" i="24"/>
  <c r="K278" i="24"/>
  <c r="I327" i="24"/>
  <c r="I328" i="24" s="1"/>
  <c r="I130" i="24"/>
  <c r="I129" i="24"/>
  <c r="K128" i="24"/>
  <c r="K129" i="24" s="1"/>
  <c r="K323" i="24"/>
  <c r="K322" i="24"/>
  <c r="K293" i="24"/>
  <c r="K292" i="24"/>
  <c r="K255" i="24" l="1"/>
  <c r="K252" i="24"/>
  <c r="J332" i="24"/>
  <c r="K327" i="24"/>
  <c r="K279" i="24"/>
  <c r="K280" i="24"/>
  <c r="K132" i="24"/>
  <c r="I331" i="24"/>
  <c r="L327" i="24" l="1"/>
  <c r="K330" i="24"/>
  <c r="K333" i="24"/>
  <c r="L333" i="24" s="1"/>
</calcChain>
</file>

<file path=xl/sharedStrings.xml><?xml version="1.0" encoding="utf-8"?>
<sst xmlns="http://schemas.openxmlformats.org/spreadsheetml/2006/main" count="897" uniqueCount="204">
  <si>
    <t>Rekapitulace majitelů nemovitostí pro provedení přípojek inženýrských sítí v rámci stavby</t>
  </si>
  <si>
    <t>POZNÁMKA</t>
  </si>
  <si>
    <t>LV</t>
  </si>
  <si>
    <t>Č.POZEMKU</t>
  </si>
  <si>
    <t>Č.P.</t>
  </si>
  <si>
    <t>st.1173/1, pozemek 1058/5</t>
  </si>
  <si>
    <t>POŘADÍ DLE SITUACE</t>
  </si>
  <si>
    <t>ULICE NA KŘEMÍNKU</t>
  </si>
  <si>
    <t>st.1001, pozemek 177/5</t>
  </si>
  <si>
    <t>Bartůněk Michal</t>
  </si>
  <si>
    <t>Boková Dora</t>
  </si>
  <si>
    <t>st.917, pozemek 177/6</t>
  </si>
  <si>
    <t>st.1133, pozemek 177/13</t>
  </si>
  <si>
    <t>st.1207, pozemek 178/3</t>
  </si>
  <si>
    <t>Takáčová Jana</t>
  </si>
  <si>
    <t>st.966, pozemek 177/7</t>
  </si>
  <si>
    <t>Kováč Roland a Kovac Katerina</t>
  </si>
  <si>
    <t>st.1559, pozemek 178/5</t>
  </si>
  <si>
    <t>Ing.Lanč Petr, MBA</t>
  </si>
  <si>
    <t>st.1090, pozemek 177/8</t>
  </si>
  <si>
    <t>st.1206, pozemek 178/1</t>
  </si>
  <si>
    <t>Moravec Josef a Vladimír</t>
  </si>
  <si>
    <t>st.1423, pozemek 1058/25</t>
  </si>
  <si>
    <t>Fischerová Hana</t>
  </si>
  <si>
    <t>st.1202, pozemek1061/2</t>
  </si>
  <si>
    <t>Bašus Milan a Bašusová Lenka</t>
  </si>
  <si>
    <t>st.1330, pozemek1058/4</t>
  </si>
  <si>
    <t>Šošolíková Olga</t>
  </si>
  <si>
    <t>bez č.p.</t>
  </si>
  <si>
    <t>st.1477, pozemek 1061/1</t>
  </si>
  <si>
    <t>Stříbrný Jiří a Josef</t>
  </si>
  <si>
    <t>Ing.Staněk Jaroslav a Staňková Marcela</t>
  </si>
  <si>
    <t>st.1174, pozemek 1058/6</t>
  </si>
  <si>
    <t>Šmejkalová Romana</t>
  </si>
  <si>
    <t>st.1425, pozemek 1058/12</t>
  </si>
  <si>
    <t>Čokrt Ivan</t>
  </si>
  <si>
    <t>st.1175, pozemek 1058/7</t>
  </si>
  <si>
    <t>st.1424, pozemek 1058/8</t>
  </si>
  <si>
    <t>Ing.Havránek Pavel a Havránková Jana</t>
  </si>
  <si>
    <t>Veselý Radek</t>
  </si>
  <si>
    <t>st.1204, pozemek1058/13</t>
  </si>
  <si>
    <t>Šmejkal Zdeněk a Šmejkalová Denisa</t>
  </si>
  <si>
    <t>st.1426, pozemek 1058/14</t>
  </si>
  <si>
    <t>Neumann Miroslav a Neumannová Věra</t>
  </si>
  <si>
    <t>st.1205, pozemek 1058/9</t>
  </si>
  <si>
    <t>Hor Tomáš</t>
  </si>
  <si>
    <t>st.1178, pozemek 1058/10</t>
  </si>
  <si>
    <t>Poláková Alena</t>
  </si>
  <si>
    <t>st.1427, pozemek 1058/15</t>
  </si>
  <si>
    <t>st.1331, pozemek 1058/11</t>
  </si>
  <si>
    <t>Hahn Jindřich a Hahnová Eva</t>
  </si>
  <si>
    <t>Moravec Vladimír a Moravcová Iveta</t>
  </si>
  <si>
    <t>pozemek 1058/34</t>
  </si>
  <si>
    <t>ULICE NA PRUTĚ</t>
  </si>
  <si>
    <t>st.1169, pozemek 1062/1</t>
  </si>
  <si>
    <t>st.1139, pozemek 1063</t>
  </si>
  <si>
    <t>st.1138/1</t>
  </si>
  <si>
    <t>st.1603, pozemek 177/15</t>
  </si>
  <si>
    <t xml:space="preserve">st.1132, pozemek </t>
  </si>
  <si>
    <t>st.1421, pozemek 1065</t>
  </si>
  <si>
    <t>Procházka Stanislav</t>
  </si>
  <si>
    <t>ULICE U DRÁHY</t>
  </si>
  <si>
    <t>st.1327, pozemek 1060</t>
  </si>
  <si>
    <t>bez.č.p.</t>
  </si>
  <si>
    <t>st.2173, pozemek 1058/37</t>
  </si>
  <si>
    <t>Ing.Záhrobská Gabriela</t>
  </si>
  <si>
    <t>Ing.Batela Luboš a Mgr.Batelová Eva</t>
  </si>
  <si>
    <t>Jirotová Irena</t>
  </si>
  <si>
    <t>st.1140, pozemek 1070</t>
  </si>
  <si>
    <t>Ing.Misterka Marek</t>
  </si>
  <si>
    <t>st.1539, pozemek 1058/16</t>
  </si>
  <si>
    <t>Ing.Janík František a Ing Janíková Dagmar</t>
  </si>
  <si>
    <t>st.1538, pozemek 1069</t>
  </si>
  <si>
    <t xml:space="preserve">Boháček Josef a Boháčková Jaroslava </t>
  </si>
  <si>
    <t>st.1338, pozemek 1058/19</t>
  </si>
  <si>
    <t>Koudelková Zuzana</t>
  </si>
  <si>
    <t>st.1328, pozemek 1068</t>
  </si>
  <si>
    <t>st.1166, pozemek 1066/1</t>
  </si>
  <si>
    <t>Popovič Petr a Popovičová Blanka</t>
  </si>
  <si>
    <t>Vrba Ivan</t>
  </si>
  <si>
    <t>st.1263, pozemek 1058/2</t>
  </si>
  <si>
    <t>ULICE V LÁNECH</t>
  </si>
  <si>
    <t>st.2188, pozemek 1058/31</t>
  </si>
  <si>
    <t>pozemek 1058/30</t>
  </si>
  <si>
    <t>st.1203, pozemek 1058/17</t>
  </si>
  <si>
    <t>pozemek 1058/29</t>
  </si>
  <si>
    <t>st.1176, pozemek 1058/18</t>
  </si>
  <si>
    <t>pozemek 1058/28</t>
  </si>
  <si>
    <t xml:space="preserve">bez č.p. </t>
  </si>
  <si>
    <t>pozemek 1058/27</t>
  </si>
  <si>
    <t>st.2248, pozemek 1058/26</t>
  </si>
  <si>
    <t>Kuška Martin</t>
  </si>
  <si>
    <t>Hampl Jiří a Hamplová Stanislava</t>
  </si>
  <si>
    <t>Černá Dana</t>
  </si>
  <si>
    <t>Kolinger Antonín a Kolingerová Jana</t>
  </si>
  <si>
    <t>Ing.Čokrt Václav</t>
  </si>
  <si>
    <t>Moravec Josef a Moravcová Hana</t>
  </si>
  <si>
    <t>Kratochvíl Zdeněk a Kratochvílová Miloslava</t>
  </si>
  <si>
    <t>Sasková Katy</t>
  </si>
  <si>
    <t>st.2260, pozemek 1058/32</t>
  </si>
  <si>
    <t>Bašusová Lenka</t>
  </si>
  <si>
    <t>Veselý Jakub</t>
  </si>
  <si>
    <t>Ing. Černý Tomáš a Ing. Černá Lucie</t>
  </si>
  <si>
    <t>JUDr. Němečková Hana</t>
  </si>
  <si>
    <t>Ing.Miroslav Škorpil a Škorpilová Jaroslava</t>
  </si>
  <si>
    <t>Stavba: Doplnění vodovodní sítě Český Brod - Část "B" - lokalita Na Křemínku - výstavba nového vodovodu</t>
  </si>
  <si>
    <t>Stavba: Doplnění vodovodní sítě Český Brod - Část "C" - ulice Nábřežní - výstavba nového vodovodu</t>
  </si>
  <si>
    <t>ULICE NÁBŘEŽNÍ</t>
  </si>
  <si>
    <t>ULICE JUNGMANNOVA</t>
  </si>
  <si>
    <t>Stavba: Doplnění vodovodní sítě Český Brod - Část "F" - ulice Jungmannova - výstavba nového vodovodu, propoj do ulice Tuchorazské</t>
  </si>
  <si>
    <t>ULICE POLOMSKÁ</t>
  </si>
  <si>
    <t>Stavba: Doplnění vodovodní sítě Český Brod - Část "H" - ulice Polomská, Tování nový vodovodní řad</t>
  </si>
  <si>
    <t>Ing.Bernat Vladimír a Bernatová Ludmila</t>
  </si>
  <si>
    <t>VP1</t>
  </si>
  <si>
    <t>pozemek 238/26</t>
  </si>
  <si>
    <t>Mgr.Uldrichová Klára, MPA</t>
  </si>
  <si>
    <t>Kuncová Alena</t>
  </si>
  <si>
    <t>st.2008, pozemek 238/31</t>
  </si>
  <si>
    <t>st.1540,2317, pozemek 238/41</t>
  </si>
  <si>
    <t>pozemek 158/5</t>
  </si>
  <si>
    <t>Psohlavcová Lenka a Stanke Jan</t>
  </si>
  <si>
    <t>VP3</t>
  </si>
  <si>
    <t>VP4</t>
  </si>
  <si>
    <t>VP5</t>
  </si>
  <si>
    <t>VP2</t>
  </si>
  <si>
    <t>st.916, pozemek 176/4</t>
  </si>
  <si>
    <t>st.1000, pozemek 176/9</t>
  </si>
  <si>
    <t>st.1027, pozemek 176/10</t>
  </si>
  <si>
    <t>st.1143, pozemek 176/13</t>
  </si>
  <si>
    <t>st.1332, pozemek 176/12</t>
  </si>
  <si>
    <t>Brzák Roman a Brzáková Petra</t>
  </si>
  <si>
    <t>Zajícová Věra</t>
  </si>
  <si>
    <t>Zajícová Vlasta</t>
  </si>
  <si>
    <t>Popová Alena</t>
  </si>
  <si>
    <t>Petrásková Eva</t>
  </si>
  <si>
    <t>MAJITELE NEMOVITOSTÍ</t>
  </si>
  <si>
    <t>st.1422, pozemek 178/6,1058/22</t>
  </si>
  <si>
    <t>st.1329, pozemek1058/3, 1058/22</t>
  </si>
  <si>
    <t>Hnida Václav a Hnidová Ivana</t>
  </si>
  <si>
    <t xml:space="preserve">Doležal Antonín </t>
  </si>
  <si>
    <t>Ing. Filip Ulík a Lucie Ulíková</t>
  </si>
  <si>
    <t>st.1144</t>
  </si>
  <si>
    <t>Vašek Lukáš</t>
  </si>
  <si>
    <t>Popadynets Iryna</t>
  </si>
  <si>
    <t>Koula František a Koulová Lenka</t>
  </si>
  <si>
    <t>má zajem o připojení a nemá PD a ÚR, nebo nemá jen ÚR</t>
  </si>
  <si>
    <t>zatím zcela nezjištěno</t>
  </si>
  <si>
    <t>m</t>
  </si>
  <si>
    <t>DÉLKA PŘÍPOJKY DLE PD DO DOMU</t>
  </si>
  <si>
    <t>Jordáková Eva</t>
  </si>
  <si>
    <t>CENA CELKEM</t>
  </si>
  <si>
    <t>JEDN.CENA/BM V POVRCHU</t>
  </si>
  <si>
    <t>asflat</t>
  </si>
  <si>
    <t>asfalt</t>
  </si>
  <si>
    <t>dlažba</t>
  </si>
  <si>
    <t>zeleň</t>
  </si>
  <si>
    <t>štěrk</t>
  </si>
  <si>
    <t>štěrk, není v celé délce</t>
  </si>
  <si>
    <t>NEBUDE PROVÁDĚNO DLE VYJÁDŘENÍ VLASTNÍKŮ</t>
  </si>
  <si>
    <t>PD</t>
  </si>
  <si>
    <t>Sommer</t>
  </si>
  <si>
    <t>Němeček</t>
  </si>
  <si>
    <t>Sommer - 1/2 délky</t>
  </si>
  <si>
    <t>Sommer - rozpracováno</t>
  </si>
  <si>
    <t>zeleń</t>
  </si>
  <si>
    <t>1,0m za oplocení</t>
  </si>
  <si>
    <t>Sommer - 1/2 délky+1,0m za oplocení</t>
  </si>
  <si>
    <t>Sommer - 1/2 délky+1,0m za öplocení</t>
  </si>
  <si>
    <t>Horčička Jan a Horčičková Jolana</t>
  </si>
  <si>
    <t>Sommer - napojení z ulice U Dráhy</t>
  </si>
  <si>
    <t>POVRCH</t>
  </si>
  <si>
    <t>CENA CELKEM JASNÉ</t>
  </si>
  <si>
    <t>CENA CELKEM NEJASNÉ</t>
  </si>
  <si>
    <t>cena za přípojku - KUS, CELKEM 5 KS</t>
  </si>
  <si>
    <t>cena za přípojku - KUS, CELKEM 0KS</t>
  </si>
  <si>
    <t>cena za přípojku - KUS, CELKEM 4 KS</t>
  </si>
  <si>
    <t>cena za přípojku - KUS, CELKEM 15 KS</t>
  </si>
  <si>
    <t>celkem za přípojky</t>
  </si>
  <si>
    <t>CENY UVEDENY BEZ DPH</t>
  </si>
  <si>
    <t>CENY VČ.DPH</t>
  </si>
  <si>
    <t>Grebner 2016</t>
  </si>
  <si>
    <t>Horčička Miloslav</t>
  </si>
  <si>
    <t>Horčička Jan</t>
  </si>
  <si>
    <t>obrubník</t>
  </si>
  <si>
    <t>průraz oplocení</t>
  </si>
  <si>
    <t>kus</t>
  </si>
  <si>
    <t>CELKEM</t>
  </si>
  <si>
    <t>pozemek 1058/33</t>
  </si>
  <si>
    <t>pozemek 158/1</t>
  </si>
  <si>
    <t>KALTECH, s.r.o.</t>
  </si>
  <si>
    <t>cena za přípojku - KUS, CELKEM 1 KS</t>
  </si>
  <si>
    <t>DCERA MORAVCŮ Josef a Hana</t>
  </si>
  <si>
    <t>ZMĚNA NEBUDE PŘÍPOJKA</t>
  </si>
  <si>
    <t>JIŽ NAPOJENA</t>
  </si>
  <si>
    <t>JIŽ NAPOJENO, ALE CHYBNĚ!!!!!</t>
  </si>
  <si>
    <t>E-MAIL PÍ JORDÁKOVÉ - PŘIPOJENÍ Z UL.V LUKÁCH</t>
  </si>
  <si>
    <t>NEBUDE PŘIPOJENÍ</t>
  </si>
  <si>
    <t>nechce připojit, nebo již připojeno z jiné ulice</t>
  </si>
  <si>
    <t>cena za přípojku - KUS, CELKEM 21 KS+2+3ks</t>
  </si>
  <si>
    <t>cena za přípojku - KUS, CELKEM 44 KS</t>
  </si>
  <si>
    <t>cena za přípojku - KUS, CELKEM 6 KS</t>
  </si>
  <si>
    <t>cena za přípojku - KUS, CELKEM 44 KS+6KS</t>
  </si>
  <si>
    <t xml:space="preserve">Rekapitulace majitelů nemovitostí pro provedení přípojek inženýrských sítí v rámci stavby - odhad nákladů na provedení veřejných částí přípojek+cca 1,0m za hrancii pozemku dle jednotkových cen CE-DA servis, s.r.o. </t>
  </si>
  <si>
    <t>REKAPITULACE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</si>
</sst>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/>
    <xf numFmtId="0" fontId="1" fillId="0" borderId="5" xfId="0" applyFont="1" applyBorder="1"/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2" xfId="0" applyFont="1" applyBorder="1"/>
    <xf numFmtId="0" fontId="1" fillId="0" borderId="5" xfId="0" applyFont="1" applyBorder="1" applyAlignment="1">
      <alignment horizontal="right"/>
    </xf>
    <xf numFmtId="0" fontId="1" fillId="0" borderId="16" xfId="0" applyFont="1" applyBorder="1"/>
    <xf numFmtId="0" fontId="1" fillId="0" borderId="0" xfId="0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2" borderId="4" xfId="0" applyFont="1" applyFill="1" applyBorder="1"/>
    <xf numFmtId="0" fontId="1" fillId="3" borderId="15" xfId="0" applyFont="1" applyFill="1" applyBorder="1"/>
    <xf numFmtId="0" fontId="1" fillId="3" borderId="4" xfId="0" applyFont="1" applyFill="1" applyBorder="1" applyAlignment="1">
      <alignment horizontal="right"/>
    </xf>
    <xf numFmtId="0" fontId="1" fillId="2" borderId="21" xfId="0" applyFont="1" applyFill="1" applyBorder="1"/>
    <xf numFmtId="0" fontId="1" fillId="3" borderId="21" xfId="0" applyFont="1" applyFill="1" applyBorder="1"/>
    <xf numFmtId="0" fontId="5" fillId="4" borderId="21" xfId="0" applyFont="1" applyFill="1" applyBorder="1"/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164" fontId="4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4" fontId="3" fillId="0" borderId="0" xfId="0" applyNumberFormat="1" applyFont="1" applyAlignment="1"/>
    <xf numFmtId="164" fontId="2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64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1" fillId="5" borderId="2" xfId="0" applyFont="1" applyFill="1" applyBorder="1"/>
    <xf numFmtId="0" fontId="1" fillId="5" borderId="2" xfId="0" applyFont="1" applyFill="1" applyBorder="1" applyAlignment="1">
      <alignment wrapText="1"/>
    </xf>
    <xf numFmtId="164" fontId="1" fillId="5" borderId="36" xfId="0" applyNumberFormat="1" applyFont="1" applyFill="1" applyBorder="1" applyAlignment="1">
      <alignment wrapText="1"/>
    </xf>
    <xf numFmtId="0" fontId="1" fillId="5" borderId="5" xfId="0" applyFont="1" applyFill="1" applyBorder="1"/>
    <xf numFmtId="0" fontId="1" fillId="5" borderId="5" xfId="0" applyFont="1" applyFill="1" applyBorder="1" applyAlignment="1">
      <alignment wrapText="1"/>
    </xf>
    <xf numFmtId="164" fontId="1" fillId="5" borderId="26" xfId="0" applyNumberFormat="1" applyFont="1" applyFill="1" applyBorder="1" applyAlignment="1">
      <alignment horizontal="left" wrapText="1"/>
    </xf>
    <xf numFmtId="164" fontId="1" fillId="5" borderId="37" xfId="0" applyNumberFormat="1" applyFont="1" applyFill="1" applyBorder="1" applyAlignment="1">
      <alignment wrapText="1"/>
    </xf>
    <xf numFmtId="164" fontId="1" fillId="5" borderId="27" xfId="0" applyNumberFormat="1" applyFont="1" applyFill="1" applyBorder="1" applyAlignment="1">
      <alignment horizontal="left" wrapText="1"/>
    </xf>
    <xf numFmtId="0" fontId="1" fillId="5" borderId="13" xfId="0" applyFont="1" applyFill="1" applyBorder="1"/>
    <xf numFmtId="0" fontId="1" fillId="5" borderId="13" xfId="0" applyFont="1" applyFill="1" applyBorder="1" applyAlignment="1">
      <alignment wrapText="1"/>
    </xf>
    <xf numFmtId="164" fontId="1" fillId="5" borderId="25" xfId="0" applyNumberFormat="1" applyFont="1" applyFill="1" applyBorder="1" applyAlignment="1">
      <alignment horizontal="left" wrapText="1"/>
    </xf>
    <xf numFmtId="164" fontId="1" fillId="5" borderId="35" xfId="0" applyNumberFormat="1" applyFont="1" applyFill="1" applyBorder="1" applyAlignment="1">
      <alignment wrapText="1"/>
    </xf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wrapText="1"/>
    </xf>
    <xf numFmtId="164" fontId="1" fillId="5" borderId="0" xfId="0" applyNumberFormat="1" applyFont="1" applyFill="1" applyBorder="1" applyAlignment="1">
      <alignment horizontal="left" wrapText="1"/>
    </xf>
    <xf numFmtId="164" fontId="1" fillId="5" borderId="0" xfId="0" applyNumberFormat="1" applyFont="1" applyFill="1" applyBorder="1" applyAlignment="1">
      <alignment wrapText="1"/>
    </xf>
    <xf numFmtId="0" fontId="3" fillId="5" borderId="0" xfId="0" applyFont="1" applyFill="1" applyAlignment="1"/>
    <xf numFmtId="0" fontId="4" fillId="5" borderId="0" xfId="0" applyFont="1" applyFill="1"/>
    <xf numFmtId="164" fontId="4" fillId="5" borderId="0" xfId="0" applyNumberFormat="1" applyFont="1" applyFill="1" applyAlignment="1">
      <alignment horizontal="left" wrapText="1"/>
    </xf>
    <xf numFmtId="164" fontId="3" fillId="5" borderId="0" xfId="0" applyNumberFormat="1" applyFont="1" applyFill="1" applyBorder="1" applyAlignment="1"/>
    <xf numFmtId="0" fontId="1" fillId="5" borderId="0" xfId="0" applyFont="1" applyFill="1"/>
    <xf numFmtId="164" fontId="1" fillId="5" borderId="0" xfId="0" applyNumberFormat="1" applyFont="1" applyFill="1" applyAlignment="1">
      <alignment horizontal="left" wrapText="1"/>
    </xf>
    <xf numFmtId="164" fontId="3" fillId="5" borderId="25" xfId="0" applyNumberFormat="1" applyFont="1" applyFill="1" applyBorder="1" applyAlignment="1"/>
    <xf numFmtId="0" fontId="2" fillId="5" borderId="0" xfId="0" applyNumberFormat="1" applyFont="1" applyFill="1" applyAlignment="1">
      <alignment horizontal="center" wrapText="1"/>
    </xf>
    <xf numFmtId="164" fontId="2" fillId="5" borderId="19" xfId="0" applyNumberFormat="1" applyFont="1" applyFill="1" applyBorder="1" applyAlignment="1">
      <alignment horizontal="center" wrapText="1"/>
    </xf>
    <xf numFmtId="164" fontId="2" fillId="5" borderId="20" xfId="0" applyNumberFormat="1" applyFont="1" applyFill="1" applyBorder="1" applyAlignment="1">
      <alignment horizontal="center" wrapText="1"/>
    </xf>
    <xf numFmtId="0" fontId="1" fillId="5" borderId="0" xfId="0" applyFont="1" applyFill="1" applyAlignment="1">
      <alignment horizontal="left"/>
    </xf>
    <xf numFmtId="164" fontId="1" fillId="5" borderId="0" xfId="0" applyNumberFormat="1" applyFont="1" applyFill="1"/>
    <xf numFmtId="164" fontId="3" fillId="5" borderId="0" xfId="0" applyNumberFormat="1" applyFont="1" applyFill="1" applyAlignment="1"/>
    <xf numFmtId="0" fontId="1" fillId="5" borderId="16" xfId="0" applyFont="1" applyFill="1" applyBorder="1"/>
    <xf numFmtId="0" fontId="1" fillId="5" borderId="16" xfId="0" applyFont="1" applyFill="1" applyBorder="1" applyAlignment="1">
      <alignment wrapText="1"/>
    </xf>
    <xf numFmtId="164" fontId="1" fillId="5" borderId="38" xfId="0" applyNumberFormat="1" applyFont="1" applyFill="1" applyBorder="1" applyAlignment="1">
      <alignment wrapText="1"/>
    </xf>
    <xf numFmtId="0" fontId="1" fillId="5" borderId="11" xfId="0" applyFont="1" applyFill="1" applyBorder="1"/>
    <xf numFmtId="0" fontId="1" fillId="5" borderId="11" xfId="0" applyFont="1" applyFill="1" applyBorder="1" applyAlignment="1">
      <alignment wrapText="1"/>
    </xf>
    <xf numFmtId="164" fontId="1" fillId="5" borderId="24" xfId="0" applyNumberFormat="1" applyFont="1" applyFill="1" applyBorder="1" applyAlignment="1">
      <alignment horizontal="left" wrapText="1"/>
    </xf>
    <xf numFmtId="164" fontId="1" fillId="5" borderId="34" xfId="0" applyNumberFormat="1" applyFont="1" applyFill="1" applyBorder="1" applyAlignment="1">
      <alignment wrapText="1"/>
    </xf>
    <xf numFmtId="164" fontId="2" fillId="0" borderId="21" xfId="0" applyNumberFormat="1" applyFont="1" applyBorder="1"/>
    <xf numFmtId="164" fontId="4" fillId="0" borderId="0" xfId="0" applyNumberFormat="1" applyFont="1"/>
    <xf numFmtId="164" fontId="2" fillId="5" borderId="21" xfId="0" applyNumberFormat="1" applyFont="1" applyFill="1" applyBorder="1" applyAlignment="1">
      <alignment wrapText="1"/>
    </xf>
    <xf numFmtId="164" fontId="1" fillId="5" borderId="32" xfId="0" applyNumberFormat="1" applyFont="1" applyFill="1" applyBorder="1" applyAlignment="1">
      <alignment wrapText="1"/>
    </xf>
    <xf numFmtId="164" fontId="1" fillId="5" borderId="32" xfId="0" applyNumberFormat="1" applyFont="1" applyFill="1" applyBorder="1" applyAlignment="1">
      <alignment horizontal="left" wrapText="1"/>
    </xf>
    <xf numFmtId="0" fontId="1" fillId="3" borderId="16" xfId="0" applyFont="1" applyFill="1" applyBorder="1"/>
    <xf numFmtId="0" fontId="1" fillId="0" borderId="13" xfId="0" applyFont="1" applyBorder="1"/>
    <xf numFmtId="164" fontId="1" fillId="5" borderId="0" xfId="0" applyNumberFormat="1" applyFont="1" applyFill="1" applyBorder="1"/>
    <xf numFmtId="164" fontId="2" fillId="5" borderId="0" xfId="0" applyNumberFormat="1" applyFont="1" applyFill="1" applyBorder="1"/>
    <xf numFmtId="164" fontId="1" fillId="4" borderId="35" xfId="0" applyNumberFormat="1" applyFont="1" applyFill="1" applyBorder="1" applyAlignment="1">
      <alignment wrapText="1"/>
    </xf>
    <xf numFmtId="4" fontId="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" fontId="2" fillId="0" borderId="30" xfId="0" applyNumberFormat="1" applyFont="1" applyBorder="1" applyAlignment="1">
      <alignment horizontal="center" wrapText="1"/>
    </xf>
    <xf numFmtId="4" fontId="1" fillId="5" borderId="28" xfId="0" applyNumberFormat="1" applyFont="1" applyFill="1" applyBorder="1" applyAlignment="1">
      <alignment horizontal="right" wrapText="1"/>
    </xf>
    <xf numFmtId="4" fontId="1" fillId="5" borderId="30" xfId="0" applyNumberFormat="1" applyFont="1" applyFill="1" applyBorder="1" applyAlignment="1">
      <alignment horizontal="right" wrapText="1"/>
    </xf>
    <xf numFmtId="4" fontId="1" fillId="5" borderId="31" xfId="0" applyNumberFormat="1" applyFont="1" applyFill="1" applyBorder="1" applyAlignment="1">
      <alignment horizontal="right" wrapText="1"/>
    </xf>
    <xf numFmtId="4" fontId="1" fillId="5" borderId="33" xfId="0" applyNumberFormat="1" applyFont="1" applyFill="1" applyBorder="1" applyAlignment="1">
      <alignment horizontal="right" wrapText="1"/>
    </xf>
    <xf numFmtId="4" fontId="1" fillId="5" borderId="29" xfId="0" applyNumberFormat="1" applyFont="1" applyFill="1" applyBorder="1" applyAlignment="1">
      <alignment horizontal="right" wrapText="1"/>
    </xf>
    <xf numFmtId="4" fontId="1" fillId="5" borderId="0" xfId="0" applyNumberFormat="1" applyFont="1" applyFill="1" applyBorder="1" applyAlignment="1">
      <alignment horizontal="right" wrapText="1"/>
    </xf>
    <xf numFmtId="4" fontId="4" fillId="5" borderId="0" xfId="0" applyNumberFormat="1" applyFont="1" applyFill="1" applyAlignment="1">
      <alignment horizontal="right" wrapText="1"/>
    </xf>
    <xf numFmtId="4" fontId="1" fillId="5" borderId="0" xfId="0" applyNumberFormat="1" applyFont="1" applyFill="1" applyAlignment="1">
      <alignment horizontal="right" wrapText="1"/>
    </xf>
    <xf numFmtId="4" fontId="2" fillId="5" borderId="0" xfId="0" applyNumberFormat="1" applyFont="1" applyFill="1" applyAlignment="1">
      <alignment horizontal="center" wrapText="1"/>
    </xf>
    <xf numFmtId="4" fontId="1" fillId="5" borderId="0" xfId="0" applyNumberFormat="1" applyFont="1" applyFill="1"/>
    <xf numFmtId="4" fontId="1" fillId="6" borderId="31" xfId="0" applyNumberFormat="1" applyFont="1" applyFill="1" applyBorder="1" applyAlignment="1">
      <alignment horizontal="right" wrapText="1"/>
    </xf>
    <xf numFmtId="4" fontId="1" fillId="6" borderId="30" xfId="0" applyNumberFormat="1" applyFont="1" applyFill="1" applyBorder="1" applyAlignment="1">
      <alignment horizontal="right" wrapText="1"/>
    </xf>
    <xf numFmtId="164" fontId="1" fillId="6" borderId="37" xfId="0" applyNumberFormat="1" applyFont="1" applyFill="1" applyBorder="1" applyAlignment="1">
      <alignment wrapText="1"/>
    </xf>
    <xf numFmtId="164" fontId="1" fillId="6" borderId="38" xfId="0" applyNumberFormat="1" applyFont="1" applyFill="1" applyBorder="1" applyAlignment="1">
      <alignment wrapText="1"/>
    </xf>
    <xf numFmtId="164" fontId="2" fillId="0" borderId="35" xfId="0" applyNumberFormat="1" applyFont="1" applyBorder="1"/>
    <xf numFmtId="0" fontId="1" fillId="3" borderId="29" xfId="0" applyFont="1" applyFill="1" applyBorder="1"/>
    <xf numFmtId="164" fontId="2" fillId="5" borderId="21" xfId="0" applyNumberFormat="1" applyFont="1" applyFill="1" applyBorder="1" applyAlignment="1">
      <alignment horizontal="center" wrapText="1"/>
    </xf>
    <xf numFmtId="0" fontId="2" fillId="5" borderId="0" xfId="0" applyFont="1" applyFill="1"/>
    <xf numFmtId="0" fontId="2" fillId="0" borderId="18" xfId="0" applyFont="1" applyBorder="1"/>
    <xf numFmtId="0" fontId="2" fillId="0" borderId="19" xfId="0" applyFont="1" applyBorder="1" applyAlignment="1">
      <alignment horizontal="left"/>
    </xf>
    <xf numFmtId="164" fontId="2" fillId="0" borderId="20" xfId="0" applyNumberFormat="1" applyFont="1" applyBorder="1"/>
    <xf numFmtId="164" fontId="2" fillId="0" borderId="24" xfId="0" applyNumberFormat="1" applyFont="1" applyBorder="1"/>
    <xf numFmtId="0" fontId="1" fillId="3" borderId="15" xfId="0" applyFont="1" applyFill="1" applyBorder="1" applyAlignment="1">
      <alignment horizontal="right"/>
    </xf>
    <xf numFmtId="164" fontId="1" fillId="3" borderId="37" xfId="0" applyNumberFormat="1" applyFont="1" applyFill="1" applyBorder="1" applyAlignment="1">
      <alignment wrapText="1"/>
    </xf>
    <xf numFmtId="164" fontId="1" fillId="3" borderId="34" xfId="0" applyNumberFormat="1" applyFont="1" applyFill="1" applyBorder="1" applyAlignment="1">
      <alignment wrapText="1"/>
    </xf>
    <xf numFmtId="164" fontId="1" fillId="3" borderId="38" xfId="0" applyNumberFormat="1" applyFont="1" applyFill="1" applyBorder="1" applyAlignment="1">
      <alignment wrapText="1"/>
    </xf>
    <xf numFmtId="0" fontId="1" fillId="4" borderId="4" xfId="0" applyFont="1" applyFill="1" applyBorder="1"/>
    <xf numFmtId="164" fontId="2" fillId="5" borderId="35" xfId="0" applyNumberFormat="1" applyFont="1" applyFill="1" applyBorder="1" applyAlignment="1">
      <alignment wrapText="1"/>
    </xf>
    <xf numFmtId="164" fontId="2" fillId="5" borderId="25" xfId="0" applyNumberFormat="1" applyFont="1" applyFill="1" applyBorder="1" applyAlignment="1">
      <alignment horizontal="center" wrapText="1"/>
    </xf>
    <xf numFmtId="164" fontId="2" fillId="5" borderId="39" xfId="0" applyNumberFormat="1" applyFont="1" applyFill="1" applyBorder="1" applyAlignment="1">
      <alignment horizontal="center" wrapText="1"/>
    </xf>
    <xf numFmtId="164" fontId="1" fillId="6" borderId="26" xfId="0" applyNumberFormat="1" applyFont="1" applyFill="1" applyBorder="1" applyAlignment="1">
      <alignment horizontal="left" wrapText="1"/>
    </xf>
    <xf numFmtId="0" fontId="1" fillId="3" borderId="10" xfId="0" applyFont="1" applyFill="1" applyBorder="1"/>
    <xf numFmtId="0" fontId="1" fillId="0" borderId="11" xfId="0" applyFont="1" applyBorder="1"/>
    <xf numFmtId="0" fontId="5" fillId="4" borderId="4" xfId="0" applyFont="1" applyFill="1" applyBorder="1"/>
    <xf numFmtId="0" fontId="5" fillId="4" borderId="15" xfId="0" applyFont="1" applyFill="1" applyBorder="1"/>
    <xf numFmtId="0" fontId="1" fillId="2" borderId="15" xfId="0" applyFont="1" applyFill="1" applyBorder="1"/>
    <xf numFmtId="0" fontId="1" fillId="4" borderId="15" xfId="0" applyFont="1" applyFill="1" applyBorder="1"/>
    <xf numFmtId="164" fontId="1" fillId="5" borderId="40" xfId="0" applyNumberFormat="1" applyFont="1" applyFill="1" applyBorder="1" applyAlignment="1">
      <alignment horizontal="left" wrapText="1"/>
    </xf>
    <xf numFmtId="0" fontId="1" fillId="2" borderId="10" xfId="0" applyFont="1" applyFill="1" applyBorder="1"/>
    <xf numFmtId="0" fontId="1" fillId="3" borderId="16" xfId="0" applyFont="1" applyFill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2" fillId="0" borderId="29" xfId="0" applyFont="1" applyBorder="1"/>
    <xf numFmtId="0" fontId="2" fillId="0" borderId="25" xfId="0" applyFont="1" applyBorder="1" applyAlignment="1">
      <alignment horizontal="left"/>
    </xf>
    <xf numFmtId="164" fontId="2" fillId="0" borderId="39" xfId="0" applyNumberFormat="1" applyFont="1" applyBorder="1"/>
    <xf numFmtId="164" fontId="2" fillId="5" borderId="24" xfId="0" applyNumberFormat="1" applyFont="1" applyFill="1" applyBorder="1" applyAlignment="1">
      <alignment wrapText="1"/>
    </xf>
    <xf numFmtId="164" fontId="2" fillId="0" borderId="0" xfId="0" applyNumberFormat="1" applyFont="1" applyBorder="1"/>
    <xf numFmtId="164" fontId="2" fillId="5" borderId="34" xfId="0" applyNumberFormat="1" applyFont="1" applyFill="1" applyBorder="1" applyAlignment="1">
      <alignment vertical="center" wrapText="1"/>
    </xf>
    <xf numFmtId="164" fontId="1" fillId="5" borderId="40" xfId="0" applyNumberFormat="1" applyFont="1" applyFill="1" applyBorder="1" applyAlignment="1">
      <alignment wrapText="1"/>
    </xf>
    <xf numFmtId="0" fontId="4" fillId="0" borderId="0" xfId="0" applyFont="1" applyAlignment="1">
      <alignment horizontal="center"/>
    </xf>
    <xf numFmtId="164" fontId="1" fillId="5" borderId="34" xfId="0" applyNumberFormat="1" applyFont="1" applyFill="1" applyBorder="1" applyAlignment="1">
      <alignment horizontal="center" wrapText="1"/>
    </xf>
    <xf numFmtId="164" fontId="1" fillId="5" borderId="38" xfId="0" applyNumberFormat="1" applyFont="1" applyFill="1" applyBorder="1" applyAlignment="1">
      <alignment horizontal="center" wrapText="1"/>
    </xf>
    <xf numFmtId="164" fontId="1" fillId="5" borderId="37" xfId="0" applyNumberFormat="1" applyFont="1" applyFill="1" applyBorder="1" applyAlignment="1">
      <alignment horizontal="center" wrapText="1"/>
    </xf>
    <xf numFmtId="164" fontId="1" fillId="5" borderId="36" xfId="0" applyNumberFormat="1" applyFont="1" applyFill="1" applyBorder="1" applyAlignment="1">
      <alignment horizontal="center" wrapText="1"/>
    </xf>
    <xf numFmtId="164" fontId="1" fillId="5" borderId="32" xfId="0" applyNumberFormat="1" applyFont="1" applyFill="1" applyBorder="1" applyAlignment="1">
      <alignment horizontal="center" wrapText="1"/>
    </xf>
    <xf numFmtId="164" fontId="1" fillId="5" borderId="40" xfId="0" applyNumberFormat="1" applyFont="1" applyFill="1" applyBorder="1" applyAlignment="1">
      <alignment horizontal="center" wrapText="1"/>
    </xf>
    <xf numFmtId="164" fontId="1" fillId="5" borderId="35" xfId="0" applyNumberFormat="1" applyFont="1" applyFill="1" applyBorder="1" applyAlignment="1">
      <alignment horizontal="center" wrapText="1"/>
    </xf>
    <xf numFmtId="164" fontId="1" fillId="6" borderId="37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4" borderId="21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3" borderId="11" xfId="0" applyFont="1" applyFill="1" applyBorder="1"/>
    <xf numFmtId="164" fontId="1" fillId="4" borderId="21" xfId="0" applyNumberFormat="1" applyFont="1" applyFill="1" applyBorder="1" applyAlignment="1">
      <alignment wrapText="1"/>
    </xf>
    <xf numFmtId="0" fontId="1" fillId="4" borderId="29" xfId="0" applyFont="1" applyFill="1" applyBorder="1"/>
    <xf numFmtId="0" fontId="1" fillId="4" borderId="30" xfId="0" applyFont="1" applyFill="1" applyBorder="1"/>
    <xf numFmtId="164" fontId="1" fillId="6" borderId="0" xfId="0" applyNumberFormat="1" applyFont="1" applyFill="1" applyBorder="1" applyAlignment="1">
      <alignment horizontal="left" wrapText="1"/>
    </xf>
    <xf numFmtId="164" fontId="1" fillId="6" borderId="38" xfId="0" applyNumberFormat="1" applyFont="1" applyFill="1" applyBorder="1" applyAlignment="1">
      <alignment horizontal="center" wrapText="1"/>
    </xf>
    <xf numFmtId="0" fontId="1" fillId="3" borderId="30" xfId="0" applyFont="1" applyFill="1" applyBorder="1"/>
    <xf numFmtId="0" fontId="1" fillId="3" borderId="30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right"/>
    </xf>
    <xf numFmtId="0" fontId="1" fillId="5" borderId="6" xfId="0" applyFont="1" applyFill="1" applyBorder="1" applyAlignment="1">
      <alignment wrapText="1"/>
    </xf>
    <xf numFmtId="0" fontId="1" fillId="5" borderId="17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14" xfId="0" applyFont="1" applyFill="1" applyBorder="1" applyAlignment="1">
      <alignment wrapText="1"/>
    </xf>
    <xf numFmtId="164" fontId="1" fillId="5" borderId="41" xfId="0" applyNumberFormat="1" applyFont="1" applyFill="1" applyBorder="1" applyAlignment="1">
      <alignment horizontal="left" wrapText="1"/>
    </xf>
    <xf numFmtId="164" fontId="2" fillId="0" borderId="30" xfId="0" applyNumberFormat="1" applyFont="1" applyBorder="1"/>
    <xf numFmtId="164" fontId="1" fillId="6" borderId="35" xfId="0" applyNumberFormat="1" applyFont="1" applyFill="1" applyBorder="1" applyAlignment="1">
      <alignment wrapText="1"/>
    </xf>
    <xf numFmtId="4" fontId="2" fillId="0" borderId="29" xfId="0" applyNumberFormat="1" applyFont="1" applyBorder="1"/>
    <xf numFmtId="0" fontId="2" fillId="5" borderId="0" xfId="0" applyFont="1" applyFill="1" applyBorder="1"/>
    <xf numFmtId="4" fontId="2" fillId="0" borderId="0" xfId="0" applyNumberFormat="1" applyFont="1" applyBorder="1"/>
    <xf numFmtId="164" fontId="1" fillId="5" borderId="21" xfId="0" applyNumberFormat="1" applyFont="1" applyFill="1" applyBorder="1" applyAlignment="1">
      <alignment wrapText="1"/>
    </xf>
    <xf numFmtId="0" fontId="1" fillId="5" borderId="2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164" fontId="1" fillId="4" borderId="26" xfId="0" applyNumberFormat="1" applyFont="1" applyFill="1" applyBorder="1" applyAlignment="1">
      <alignment horizontal="left" wrapText="1"/>
    </xf>
    <xf numFmtId="164" fontId="1" fillId="4" borderId="34" xfId="0" applyNumberFormat="1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4" fontId="1" fillId="4" borderId="31" xfId="0" applyNumberFormat="1" applyFont="1" applyFill="1" applyBorder="1" applyAlignment="1">
      <alignment horizontal="right" wrapText="1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/>
    <xf numFmtId="0" fontId="1" fillId="6" borderId="22" xfId="0" applyFont="1" applyFill="1" applyBorder="1" applyAlignment="1">
      <alignment wrapText="1"/>
    </xf>
    <xf numFmtId="4" fontId="1" fillId="6" borderId="28" xfId="0" applyNumberFormat="1" applyFont="1" applyFill="1" applyBorder="1" applyAlignment="1">
      <alignment horizontal="right" wrapText="1"/>
    </xf>
    <xf numFmtId="164" fontId="1" fillId="6" borderId="41" xfId="0" applyNumberFormat="1" applyFont="1" applyFill="1" applyBorder="1" applyAlignment="1">
      <alignment horizontal="left" wrapText="1"/>
    </xf>
    <xf numFmtId="164" fontId="1" fillId="6" borderId="34" xfId="0" applyNumberFormat="1" applyFont="1" applyFill="1" applyBorder="1" applyAlignment="1">
      <alignment wrapText="1"/>
    </xf>
    <xf numFmtId="0" fontId="1" fillId="6" borderId="15" xfId="0" applyFont="1" applyFill="1" applyBorder="1" applyAlignment="1">
      <alignment horizontal="right"/>
    </xf>
    <xf numFmtId="0" fontId="1" fillId="6" borderId="16" xfId="0" applyFont="1" applyFill="1" applyBorder="1"/>
    <xf numFmtId="0" fontId="1" fillId="6" borderId="16" xfId="0" applyFont="1" applyFill="1" applyBorder="1" applyAlignment="1">
      <alignment wrapText="1"/>
    </xf>
    <xf numFmtId="0" fontId="1" fillId="6" borderId="12" xfId="0" applyFont="1" applyFill="1" applyBorder="1" applyAlignment="1">
      <alignment horizontal="right"/>
    </xf>
    <xf numFmtId="0" fontId="1" fillId="6" borderId="13" xfId="0" applyFont="1" applyFill="1" applyBorder="1"/>
    <xf numFmtId="0" fontId="1" fillId="6" borderId="13" xfId="0" applyFont="1" applyFill="1" applyBorder="1" applyAlignment="1">
      <alignment wrapText="1"/>
    </xf>
    <xf numFmtId="4" fontId="1" fillId="6" borderId="29" xfId="0" applyNumberFormat="1" applyFont="1" applyFill="1" applyBorder="1" applyAlignment="1">
      <alignment horizontal="right" wrapText="1"/>
    </xf>
    <xf numFmtId="164" fontId="1" fillId="6" borderId="25" xfId="0" applyNumberFormat="1" applyFont="1" applyFill="1" applyBorder="1" applyAlignment="1">
      <alignment horizontal="left" wrapText="1"/>
    </xf>
    <xf numFmtId="0" fontId="2" fillId="6" borderId="29" xfId="0" applyFont="1" applyFill="1" applyBorder="1"/>
    <xf numFmtId="0" fontId="2" fillId="6" borderId="25" xfId="0" applyFont="1" applyFill="1" applyBorder="1" applyAlignment="1">
      <alignment horizontal="left"/>
    </xf>
    <xf numFmtId="164" fontId="2" fillId="6" borderId="39" xfId="0" applyNumberFormat="1" applyFont="1" applyFill="1" applyBorder="1"/>
    <xf numFmtId="164" fontId="2" fillId="6" borderId="35" xfId="0" applyNumberFormat="1" applyFont="1" applyFill="1" applyBorder="1"/>
    <xf numFmtId="164" fontId="2" fillId="6" borderId="21" xfId="0" applyNumberFormat="1" applyFont="1" applyFill="1" applyBorder="1" applyAlignment="1">
      <alignment wrapText="1"/>
    </xf>
    <xf numFmtId="164" fontId="2" fillId="6" borderId="21" xfId="0" applyNumberFormat="1" applyFont="1" applyFill="1" applyBorder="1"/>
    <xf numFmtId="4" fontId="2" fillId="6" borderId="29" xfId="0" applyNumberFormat="1" applyFont="1" applyFill="1" applyBorder="1"/>
    <xf numFmtId="0" fontId="1" fillId="4" borderId="12" xfId="0" applyFont="1" applyFill="1" applyBorder="1"/>
    <xf numFmtId="164" fontId="2" fillId="5" borderId="37" xfId="0" applyNumberFormat="1" applyFont="1" applyFill="1" applyBorder="1" applyAlignment="1">
      <alignment wrapText="1"/>
    </xf>
    <xf numFmtId="164" fontId="1" fillId="4" borderId="37" xfId="0" applyNumberFormat="1" applyFont="1" applyFill="1" applyBorder="1" applyAlignment="1">
      <alignment wrapText="1"/>
    </xf>
    <xf numFmtId="164" fontId="1" fillId="4" borderId="38" xfId="0" applyNumberFormat="1" applyFont="1" applyFill="1" applyBorder="1" applyAlignment="1">
      <alignment wrapText="1"/>
    </xf>
    <xf numFmtId="0" fontId="1" fillId="5" borderId="5" xfId="0" applyFont="1" applyFill="1" applyBorder="1" applyAlignment="1">
      <alignment horizontal="right"/>
    </xf>
    <xf numFmtId="0" fontId="1" fillId="5" borderId="16" xfId="0" applyFont="1" applyFill="1" applyBorder="1" applyAlignment="1">
      <alignment horizontal="right"/>
    </xf>
    <xf numFmtId="4" fontId="2" fillId="5" borderId="0" xfId="0" applyNumberFormat="1" applyFont="1" applyFill="1" applyBorder="1"/>
    <xf numFmtId="0" fontId="2" fillId="5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5" borderId="18" xfId="0" applyNumberFormat="1" applyFont="1" applyFill="1" applyBorder="1" applyAlignment="1">
      <alignment horizontal="center"/>
    </xf>
    <xf numFmtId="0" fontId="2" fillId="5" borderId="19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1" fontId="2" fillId="5" borderId="22" xfId="0" applyNumberFormat="1" applyFont="1" applyFill="1" applyBorder="1" applyAlignment="1">
      <alignment horizontal="center" vertical="center" wrapText="1"/>
    </xf>
    <xf numFmtId="1" fontId="2" fillId="5" borderId="23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/>
    </xf>
    <xf numFmtId="0" fontId="2" fillId="5" borderId="8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5" borderId="24" xfId="0" applyNumberFormat="1" applyFont="1" applyFill="1" applyBorder="1" applyAlignment="1">
      <alignment horizontal="center" vertical="center" wrapText="1"/>
    </xf>
    <xf numFmtId="1" fontId="2" fillId="5" borderId="25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5" borderId="34" xfId="0" applyNumberFormat="1" applyFont="1" applyFill="1" applyBorder="1" applyAlignment="1">
      <alignment horizontal="center" vertical="center" wrapText="1"/>
    </xf>
    <xf numFmtId="164" fontId="2" fillId="5" borderId="35" xfId="0" applyNumberFormat="1" applyFont="1" applyFill="1" applyBorder="1" applyAlignment="1">
      <alignment horizontal="center" vertical="center" wrapText="1"/>
    </xf>
    <xf numFmtId="0" fontId="2" fillId="5" borderId="29" xfId="0" applyNumberFormat="1" applyFont="1" applyFill="1" applyBorder="1" applyAlignment="1">
      <alignment horizontal="center"/>
    </xf>
    <xf numFmtId="0" fontId="2" fillId="5" borderId="25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4" borderId="2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4"/>
  <sheetViews>
    <sheetView tabSelected="1" topLeftCell="A313" workbookViewId="0">
      <selection activeCell="E331" sqref="E331"/>
    </sheetView>
  </sheetViews>
  <sheetFormatPr defaultRowHeight="12.75" x14ac:dyDescent="0.2"/>
  <cols>
    <col min="1" max="2" width="8.7109375" style="1" customWidth="1"/>
    <col min="3" max="3" width="21.7109375" style="1" customWidth="1"/>
    <col min="4" max="4" width="5.7109375" style="1" customWidth="1"/>
    <col min="5" max="5" width="49.5703125" style="3" customWidth="1"/>
    <col min="6" max="6" width="10.7109375" style="81" customWidth="1"/>
    <col min="7" max="7" width="8.28515625" style="26" customWidth="1"/>
    <col min="8" max="8" width="16.7109375" style="30" customWidth="1"/>
    <col min="9" max="9" width="15.7109375" style="30" customWidth="1"/>
    <col min="10" max="11" width="15.7109375" style="29" customWidth="1"/>
    <col min="12" max="12" width="18.85546875" style="6" customWidth="1"/>
    <col min="13" max="13" width="9.140625" style="1"/>
    <col min="14" max="14" width="32.140625" style="30" customWidth="1"/>
    <col min="15" max="16384" width="9.140625" style="1"/>
  </cols>
  <sheetData>
    <row r="1" spans="1:14" s="2" customFormat="1" ht="24.95" customHeight="1" x14ac:dyDescent="0.25">
      <c r="A1" s="4" t="s">
        <v>105</v>
      </c>
      <c r="E1" s="4"/>
      <c r="F1" s="80"/>
      <c r="G1" s="25"/>
      <c r="H1" s="27"/>
      <c r="I1" s="27"/>
      <c r="J1" s="71"/>
      <c r="K1" s="71"/>
      <c r="L1" s="131"/>
      <c r="N1" s="27"/>
    </row>
    <row r="2" spans="1:14" ht="24.95" customHeight="1" thickBot="1" x14ac:dyDescent="0.3">
      <c r="A2" s="4" t="s">
        <v>202</v>
      </c>
      <c r="E2" s="4"/>
      <c r="H2" s="27"/>
      <c r="I2" s="27"/>
      <c r="N2" s="27"/>
    </row>
    <row r="3" spans="1:14" s="6" customFormat="1" ht="20.100000000000001" customHeight="1" x14ac:dyDescent="0.2">
      <c r="A3" s="203" t="s">
        <v>6</v>
      </c>
      <c r="B3" s="205" t="s">
        <v>4</v>
      </c>
      <c r="C3" s="205" t="s">
        <v>3</v>
      </c>
      <c r="D3" s="205" t="s">
        <v>2</v>
      </c>
      <c r="E3" s="207" t="s">
        <v>135</v>
      </c>
      <c r="F3" s="223" t="s">
        <v>148</v>
      </c>
      <c r="G3" s="224"/>
      <c r="H3" s="229" t="s">
        <v>151</v>
      </c>
      <c r="I3" s="229" t="s">
        <v>171</v>
      </c>
      <c r="J3" s="229" t="s">
        <v>172</v>
      </c>
      <c r="K3" s="229" t="s">
        <v>150</v>
      </c>
      <c r="L3" s="229" t="s">
        <v>170</v>
      </c>
      <c r="N3" s="229" t="s">
        <v>159</v>
      </c>
    </row>
    <row r="4" spans="1:14" s="7" customFormat="1" ht="20.100000000000001" customHeight="1" thickBot="1" x14ac:dyDescent="0.25">
      <c r="A4" s="204"/>
      <c r="B4" s="206"/>
      <c r="C4" s="206"/>
      <c r="D4" s="206"/>
      <c r="E4" s="208"/>
      <c r="F4" s="225"/>
      <c r="G4" s="226"/>
      <c r="H4" s="230"/>
      <c r="I4" s="230"/>
      <c r="J4" s="230"/>
      <c r="K4" s="230"/>
      <c r="L4" s="230"/>
      <c r="N4" s="230"/>
    </row>
    <row r="5" spans="1:14" s="7" customFormat="1" ht="24.95" customHeight="1" thickBot="1" x14ac:dyDescent="0.25">
      <c r="A5" s="209" t="s">
        <v>7</v>
      </c>
      <c r="B5" s="210"/>
      <c r="C5" s="210"/>
      <c r="D5" s="210"/>
      <c r="E5" s="210"/>
      <c r="F5" s="82"/>
      <c r="G5" s="32"/>
      <c r="H5" s="31"/>
      <c r="I5" s="31"/>
      <c r="J5" s="31"/>
      <c r="K5" s="31"/>
      <c r="L5" s="31"/>
      <c r="N5" s="31"/>
    </row>
    <row r="6" spans="1:14" ht="24.95" customHeight="1" x14ac:dyDescent="0.2">
      <c r="A6" s="114">
        <v>1</v>
      </c>
      <c r="B6" s="146">
        <v>1036</v>
      </c>
      <c r="C6" s="66" t="s">
        <v>12</v>
      </c>
      <c r="D6" s="66">
        <v>1237</v>
      </c>
      <c r="E6" s="67" t="s">
        <v>104</v>
      </c>
      <c r="F6" s="83">
        <v>3.3</v>
      </c>
      <c r="G6" s="68" t="s">
        <v>147</v>
      </c>
      <c r="H6" s="69">
        <v>1800</v>
      </c>
      <c r="I6" s="69">
        <f t="shared" ref="I6:I15" si="0">F6*H6</f>
        <v>5940</v>
      </c>
      <c r="J6" s="69"/>
      <c r="K6" s="69"/>
      <c r="L6" s="132" t="s">
        <v>153</v>
      </c>
      <c r="N6" s="107" t="s">
        <v>180</v>
      </c>
    </row>
    <row r="7" spans="1:14" ht="24.95" customHeight="1" x14ac:dyDescent="0.2">
      <c r="A7" s="16"/>
      <c r="B7" s="75"/>
      <c r="C7" s="63"/>
      <c r="D7" s="63"/>
      <c r="E7" s="64"/>
      <c r="F7" s="84">
        <v>1</v>
      </c>
      <c r="G7" s="48" t="s">
        <v>147</v>
      </c>
      <c r="H7" s="65">
        <v>1000</v>
      </c>
      <c r="I7" s="65">
        <f t="shared" si="0"/>
        <v>1000</v>
      </c>
      <c r="J7" s="65"/>
      <c r="K7" s="65"/>
      <c r="L7" s="133" t="s">
        <v>155</v>
      </c>
      <c r="N7" s="108" t="s">
        <v>165</v>
      </c>
    </row>
    <row r="8" spans="1:14" ht="24.95" customHeight="1" x14ac:dyDescent="0.2">
      <c r="A8" s="16"/>
      <c r="B8" s="75"/>
      <c r="C8" s="63"/>
      <c r="D8" s="63"/>
      <c r="E8" s="64"/>
      <c r="F8" s="84">
        <v>1</v>
      </c>
      <c r="G8" s="48" t="s">
        <v>185</v>
      </c>
      <c r="H8" s="65">
        <v>350</v>
      </c>
      <c r="I8" s="65">
        <f>F8*H8</f>
        <v>350</v>
      </c>
      <c r="J8" s="65"/>
      <c r="K8" s="65"/>
      <c r="L8" s="133"/>
      <c r="N8" s="108" t="s">
        <v>183</v>
      </c>
    </row>
    <row r="9" spans="1:14" ht="24.95" customHeight="1" x14ac:dyDescent="0.2">
      <c r="A9" s="16"/>
      <c r="B9" s="75"/>
      <c r="C9" s="63"/>
      <c r="D9" s="63"/>
      <c r="E9" s="64"/>
      <c r="F9" s="84">
        <v>1</v>
      </c>
      <c r="G9" s="48" t="s">
        <v>185</v>
      </c>
      <c r="H9" s="65">
        <v>800</v>
      </c>
      <c r="I9" s="65">
        <f>F9*H9</f>
        <v>800</v>
      </c>
      <c r="J9" s="65"/>
      <c r="K9" s="65"/>
      <c r="L9" s="133"/>
      <c r="N9" s="108" t="s">
        <v>184</v>
      </c>
    </row>
    <row r="10" spans="1:14" ht="24.95" customHeight="1" x14ac:dyDescent="0.2">
      <c r="A10" s="14">
        <v>2</v>
      </c>
      <c r="B10" s="5">
        <v>960</v>
      </c>
      <c r="C10" s="36" t="s">
        <v>8</v>
      </c>
      <c r="D10" s="36">
        <v>194</v>
      </c>
      <c r="E10" s="37" t="s">
        <v>9</v>
      </c>
      <c r="F10" s="85">
        <f>7*0+6.18+0.02</f>
        <v>6.1999999999999993</v>
      </c>
      <c r="G10" s="38" t="s">
        <v>147</v>
      </c>
      <c r="H10" s="39">
        <f>H6</f>
        <v>1800</v>
      </c>
      <c r="I10" s="39">
        <f t="shared" si="0"/>
        <v>11159.999999999998</v>
      </c>
      <c r="J10" s="39"/>
      <c r="K10" s="39"/>
      <c r="L10" s="134" t="s">
        <v>153</v>
      </c>
      <c r="N10" s="106" t="s">
        <v>160</v>
      </c>
    </row>
    <row r="11" spans="1:14" ht="24.95" customHeight="1" x14ac:dyDescent="0.2">
      <c r="A11" s="16"/>
      <c r="B11" s="10"/>
      <c r="C11" s="63"/>
      <c r="D11" s="63"/>
      <c r="E11" s="64" t="s">
        <v>10</v>
      </c>
      <c r="F11" s="84">
        <v>1</v>
      </c>
      <c r="G11" s="48" t="s">
        <v>147</v>
      </c>
      <c r="H11" s="65">
        <v>1000</v>
      </c>
      <c r="I11" s="65">
        <f t="shared" si="0"/>
        <v>1000</v>
      </c>
      <c r="J11" s="65"/>
      <c r="K11" s="65"/>
      <c r="L11" s="133" t="s">
        <v>155</v>
      </c>
      <c r="N11" s="108" t="s">
        <v>165</v>
      </c>
    </row>
    <row r="12" spans="1:14" ht="24.95" customHeight="1" x14ac:dyDescent="0.2">
      <c r="A12" s="16"/>
      <c r="B12" s="10"/>
      <c r="C12" s="63"/>
      <c r="D12" s="63"/>
      <c r="E12" s="64"/>
      <c r="F12" s="84">
        <v>1</v>
      </c>
      <c r="G12" s="48" t="s">
        <v>185</v>
      </c>
      <c r="H12" s="65">
        <v>350</v>
      </c>
      <c r="I12" s="65">
        <f>F12*H12</f>
        <v>350</v>
      </c>
      <c r="J12" s="65"/>
      <c r="K12" s="65"/>
      <c r="L12" s="133"/>
      <c r="N12" s="108" t="s">
        <v>183</v>
      </c>
    </row>
    <row r="13" spans="1:14" ht="24.95" customHeight="1" x14ac:dyDescent="0.2">
      <c r="A13" s="12"/>
      <c r="B13" s="8"/>
      <c r="C13" s="33"/>
      <c r="D13" s="33"/>
      <c r="E13" s="34"/>
      <c r="F13" s="84">
        <v>1</v>
      </c>
      <c r="G13" s="48" t="s">
        <v>185</v>
      </c>
      <c r="H13" s="65">
        <v>800</v>
      </c>
      <c r="I13" s="65">
        <f>F13*H13</f>
        <v>800</v>
      </c>
      <c r="J13" s="65"/>
      <c r="K13" s="65"/>
      <c r="L13" s="133"/>
      <c r="N13" s="108" t="s">
        <v>184</v>
      </c>
    </row>
    <row r="14" spans="1:14" ht="24.95" customHeight="1" x14ac:dyDescent="0.2">
      <c r="A14" s="14">
        <v>3</v>
      </c>
      <c r="B14" s="5">
        <v>928</v>
      </c>
      <c r="C14" s="36" t="s">
        <v>11</v>
      </c>
      <c r="D14" s="36">
        <v>755</v>
      </c>
      <c r="E14" s="37" t="s">
        <v>14</v>
      </c>
      <c r="F14" s="85">
        <f>7*0+6.445+0.055</f>
        <v>6.5</v>
      </c>
      <c r="G14" s="38" t="s">
        <v>147</v>
      </c>
      <c r="H14" s="39">
        <v>1800</v>
      </c>
      <c r="I14" s="39">
        <f t="shared" si="0"/>
        <v>11700</v>
      </c>
      <c r="J14" s="39"/>
      <c r="K14" s="39"/>
      <c r="L14" s="134" t="s">
        <v>153</v>
      </c>
      <c r="N14" s="106" t="s">
        <v>160</v>
      </c>
    </row>
    <row r="15" spans="1:14" ht="24.95" customHeight="1" x14ac:dyDescent="0.2">
      <c r="A15" s="16"/>
      <c r="B15" s="10"/>
      <c r="C15" s="63"/>
      <c r="D15" s="63"/>
      <c r="E15" s="64"/>
      <c r="F15" s="84">
        <v>1</v>
      </c>
      <c r="G15" s="48" t="s">
        <v>147</v>
      </c>
      <c r="H15" s="65">
        <v>1000</v>
      </c>
      <c r="I15" s="65">
        <f t="shared" si="0"/>
        <v>1000</v>
      </c>
      <c r="J15" s="65"/>
      <c r="K15" s="65"/>
      <c r="L15" s="133" t="s">
        <v>155</v>
      </c>
      <c r="N15" s="108" t="s">
        <v>165</v>
      </c>
    </row>
    <row r="16" spans="1:14" ht="24.95" customHeight="1" x14ac:dyDescent="0.2">
      <c r="A16" s="16"/>
      <c r="B16" s="10"/>
      <c r="C16" s="63"/>
      <c r="D16" s="63"/>
      <c r="E16" s="64"/>
      <c r="F16" s="84">
        <v>1</v>
      </c>
      <c r="G16" s="48" t="s">
        <v>185</v>
      </c>
      <c r="H16" s="65">
        <v>350</v>
      </c>
      <c r="I16" s="65">
        <f>F16*H16</f>
        <v>350</v>
      </c>
      <c r="J16" s="65"/>
      <c r="K16" s="65"/>
      <c r="L16" s="133"/>
      <c r="N16" s="108" t="s">
        <v>183</v>
      </c>
    </row>
    <row r="17" spans="1:14" ht="24.95" customHeight="1" x14ac:dyDescent="0.2">
      <c r="A17" s="12"/>
      <c r="B17" s="8"/>
      <c r="C17" s="33"/>
      <c r="D17" s="33"/>
      <c r="E17" s="34"/>
      <c r="F17" s="84">
        <v>0</v>
      </c>
      <c r="G17" s="48" t="s">
        <v>185</v>
      </c>
      <c r="H17" s="65">
        <v>800</v>
      </c>
      <c r="I17" s="65">
        <f>F17*H17</f>
        <v>0</v>
      </c>
      <c r="J17" s="65"/>
      <c r="K17" s="65"/>
      <c r="L17" s="133"/>
      <c r="N17" s="108" t="s">
        <v>184</v>
      </c>
    </row>
    <row r="18" spans="1:14" ht="24.95" customHeight="1" x14ac:dyDescent="0.2">
      <c r="A18" s="15">
        <v>4</v>
      </c>
      <c r="B18" s="5">
        <v>217</v>
      </c>
      <c r="C18" s="36" t="s">
        <v>13</v>
      </c>
      <c r="D18" s="36">
        <v>1041</v>
      </c>
      <c r="E18" s="37" t="s">
        <v>138</v>
      </c>
      <c r="F18" s="85">
        <v>4</v>
      </c>
      <c r="G18" s="38" t="s">
        <v>147</v>
      </c>
      <c r="H18" s="39">
        <v>1800</v>
      </c>
      <c r="I18" s="39"/>
      <c r="J18" s="39">
        <f t="shared" ref="J18:J25" si="1">F18*H18</f>
        <v>7200</v>
      </c>
      <c r="K18" s="39"/>
      <c r="L18" s="134" t="s">
        <v>153</v>
      </c>
      <c r="M18" s="11"/>
      <c r="N18" s="39"/>
    </row>
    <row r="19" spans="1:14" ht="24.95" customHeight="1" x14ac:dyDescent="0.2">
      <c r="A19" s="118"/>
      <c r="B19" s="10"/>
      <c r="C19" s="63"/>
      <c r="D19" s="63"/>
      <c r="E19" s="64"/>
      <c r="F19" s="84">
        <v>1</v>
      </c>
      <c r="G19" s="48" t="s">
        <v>147</v>
      </c>
      <c r="H19" s="65">
        <v>1000</v>
      </c>
      <c r="I19" s="65"/>
      <c r="J19" s="65">
        <f t="shared" si="1"/>
        <v>1000</v>
      </c>
      <c r="K19" s="65"/>
      <c r="L19" s="133" t="s">
        <v>155</v>
      </c>
      <c r="M19" s="11"/>
      <c r="N19" s="65" t="s">
        <v>165</v>
      </c>
    </row>
    <row r="20" spans="1:14" ht="24.95" customHeight="1" x14ac:dyDescent="0.2">
      <c r="A20" s="118"/>
      <c r="B20" s="10"/>
      <c r="C20" s="63"/>
      <c r="D20" s="63"/>
      <c r="E20" s="64"/>
      <c r="F20" s="84">
        <v>1</v>
      </c>
      <c r="G20" s="48" t="s">
        <v>185</v>
      </c>
      <c r="H20" s="65">
        <v>350</v>
      </c>
      <c r="I20" s="65"/>
      <c r="J20" s="65">
        <f t="shared" si="1"/>
        <v>350</v>
      </c>
      <c r="K20" s="65"/>
      <c r="L20" s="133"/>
      <c r="M20" s="11"/>
      <c r="N20" s="65" t="s">
        <v>183</v>
      </c>
    </row>
    <row r="21" spans="1:14" ht="24.95" customHeight="1" x14ac:dyDescent="0.2">
      <c r="A21" s="118"/>
      <c r="B21" s="10"/>
      <c r="C21" s="63"/>
      <c r="D21" s="63"/>
      <c r="E21" s="64"/>
      <c r="F21" s="84">
        <v>1</v>
      </c>
      <c r="G21" s="48" t="s">
        <v>185</v>
      </c>
      <c r="H21" s="65">
        <v>800</v>
      </c>
      <c r="I21" s="65"/>
      <c r="J21" s="65">
        <f t="shared" si="1"/>
        <v>800</v>
      </c>
      <c r="K21" s="65"/>
      <c r="L21" s="133"/>
      <c r="M21" s="11"/>
      <c r="N21" s="65" t="s">
        <v>184</v>
      </c>
    </row>
    <row r="22" spans="1:14" ht="24.95" customHeight="1" x14ac:dyDescent="0.2">
      <c r="A22" s="15">
        <v>5</v>
      </c>
      <c r="B22" s="5">
        <v>957</v>
      </c>
      <c r="C22" s="36" t="s">
        <v>15</v>
      </c>
      <c r="D22" s="36">
        <v>202</v>
      </c>
      <c r="E22" s="37" t="s">
        <v>16</v>
      </c>
      <c r="F22" s="85">
        <v>6</v>
      </c>
      <c r="G22" s="38" t="s">
        <v>147</v>
      </c>
      <c r="H22" s="39">
        <v>1800</v>
      </c>
      <c r="I22" s="39"/>
      <c r="J22" s="39">
        <f t="shared" si="1"/>
        <v>10800</v>
      </c>
      <c r="K22" s="39"/>
      <c r="L22" s="134" t="s">
        <v>153</v>
      </c>
      <c r="M22" s="11"/>
      <c r="N22" s="39"/>
    </row>
    <row r="23" spans="1:14" ht="24.95" customHeight="1" x14ac:dyDescent="0.2">
      <c r="A23" s="118"/>
      <c r="B23" s="10"/>
      <c r="C23" s="63"/>
      <c r="D23" s="63"/>
      <c r="E23" s="64"/>
      <c r="F23" s="84">
        <v>1</v>
      </c>
      <c r="G23" s="48" t="s">
        <v>147</v>
      </c>
      <c r="H23" s="65">
        <v>1000</v>
      </c>
      <c r="I23" s="65"/>
      <c r="J23" s="65">
        <f t="shared" si="1"/>
        <v>1000</v>
      </c>
      <c r="K23" s="65"/>
      <c r="L23" s="133" t="s">
        <v>155</v>
      </c>
      <c r="M23" s="11"/>
      <c r="N23" s="65" t="s">
        <v>165</v>
      </c>
    </row>
    <row r="24" spans="1:14" ht="24.95" customHeight="1" x14ac:dyDescent="0.2">
      <c r="A24" s="118"/>
      <c r="B24" s="10"/>
      <c r="C24" s="63"/>
      <c r="D24" s="63"/>
      <c r="E24" s="64"/>
      <c r="F24" s="84">
        <v>1</v>
      </c>
      <c r="G24" s="48" t="s">
        <v>185</v>
      </c>
      <c r="H24" s="65">
        <v>350</v>
      </c>
      <c r="I24" s="65"/>
      <c r="J24" s="65">
        <f t="shared" si="1"/>
        <v>350</v>
      </c>
      <c r="K24" s="65"/>
      <c r="L24" s="133"/>
      <c r="M24" s="11"/>
      <c r="N24" s="65" t="s">
        <v>183</v>
      </c>
    </row>
    <row r="25" spans="1:14" ht="24.95" customHeight="1" x14ac:dyDescent="0.2">
      <c r="A25" s="118"/>
      <c r="B25" s="10"/>
      <c r="C25" s="63"/>
      <c r="D25" s="63"/>
      <c r="E25" s="64"/>
      <c r="F25" s="84">
        <v>1</v>
      </c>
      <c r="G25" s="48" t="s">
        <v>185</v>
      </c>
      <c r="H25" s="65">
        <v>800</v>
      </c>
      <c r="I25" s="65"/>
      <c r="J25" s="65">
        <f t="shared" si="1"/>
        <v>800</v>
      </c>
      <c r="K25" s="65"/>
      <c r="L25" s="133"/>
      <c r="M25" s="11"/>
      <c r="N25" s="65" t="s">
        <v>184</v>
      </c>
    </row>
    <row r="26" spans="1:14" ht="24.95" customHeight="1" x14ac:dyDescent="0.2">
      <c r="A26" s="14">
        <v>6</v>
      </c>
      <c r="B26" s="5">
        <v>1299</v>
      </c>
      <c r="C26" s="36" t="s">
        <v>17</v>
      </c>
      <c r="D26" s="36">
        <v>1087</v>
      </c>
      <c r="E26" s="37" t="s">
        <v>139</v>
      </c>
      <c r="F26" s="85">
        <v>5.6</v>
      </c>
      <c r="G26" s="38" t="s">
        <v>147</v>
      </c>
      <c r="H26" s="39">
        <v>1800</v>
      </c>
      <c r="I26" s="39">
        <f>F26*H26</f>
        <v>10080</v>
      </c>
      <c r="J26" s="39"/>
      <c r="K26" s="39"/>
      <c r="L26" s="134" t="s">
        <v>153</v>
      </c>
      <c r="N26" s="106" t="s">
        <v>180</v>
      </c>
    </row>
    <row r="27" spans="1:14" ht="24.95" customHeight="1" x14ac:dyDescent="0.2">
      <c r="A27" s="16"/>
      <c r="B27" s="10"/>
      <c r="C27" s="63"/>
      <c r="D27" s="63"/>
      <c r="E27" s="64"/>
      <c r="F27" s="84">
        <v>1</v>
      </c>
      <c r="G27" s="48" t="s">
        <v>147</v>
      </c>
      <c r="H27" s="65">
        <v>1000</v>
      </c>
      <c r="I27" s="65">
        <f>F27*H27</f>
        <v>1000</v>
      </c>
      <c r="J27" s="65"/>
      <c r="K27" s="65"/>
      <c r="L27" s="133" t="s">
        <v>155</v>
      </c>
      <c r="N27" s="108" t="s">
        <v>165</v>
      </c>
    </row>
    <row r="28" spans="1:14" ht="24.95" customHeight="1" x14ac:dyDescent="0.2">
      <c r="A28" s="16"/>
      <c r="B28" s="10"/>
      <c r="C28" s="63"/>
      <c r="D28" s="63"/>
      <c r="E28" s="64"/>
      <c r="F28" s="84">
        <v>1</v>
      </c>
      <c r="G28" s="48" t="s">
        <v>185</v>
      </c>
      <c r="H28" s="65">
        <v>350</v>
      </c>
      <c r="I28" s="65">
        <f>F28*H28</f>
        <v>350</v>
      </c>
      <c r="J28" s="65"/>
      <c r="K28" s="65"/>
      <c r="L28" s="133"/>
      <c r="N28" s="108" t="s">
        <v>183</v>
      </c>
    </row>
    <row r="29" spans="1:14" ht="24.95" customHeight="1" x14ac:dyDescent="0.2">
      <c r="A29" s="12"/>
      <c r="B29" s="8"/>
      <c r="C29" s="33"/>
      <c r="D29" s="33"/>
      <c r="E29" s="34"/>
      <c r="F29" s="84">
        <v>1</v>
      </c>
      <c r="G29" s="48" t="s">
        <v>185</v>
      </c>
      <c r="H29" s="65">
        <v>800</v>
      </c>
      <c r="I29" s="65">
        <f>F29*H29</f>
        <v>800</v>
      </c>
      <c r="J29" s="35"/>
      <c r="K29" s="35"/>
      <c r="L29" s="135"/>
      <c r="N29" s="108" t="s">
        <v>184</v>
      </c>
    </row>
    <row r="30" spans="1:14" s="11" customFormat="1" ht="24.95" customHeight="1" x14ac:dyDescent="0.2">
      <c r="A30" s="116">
        <v>7</v>
      </c>
      <c r="B30" s="5">
        <v>1030</v>
      </c>
      <c r="C30" s="36" t="s">
        <v>19</v>
      </c>
      <c r="D30" s="36">
        <v>921</v>
      </c>
      <c r="E30" s="37" t="s">
        <v>18</v>
      </c>
      <c r="F30" s="85">
        <v>6</v>
      </c>
      <c r="G30" s="38" t="s">
        <v>147</v>
      </c>
      <c r="H30" s="39">
        <v>1800</v>
      </c>
      <c r="I30" s="39"/>
      <c r="J30" s="39">
        <f>F30*H30*0</f>
        <v>0</v>
      </c>
      <c r="K30" s="39"/>
      <c r="L30" s="134" t="s">
        <v>152</v>
      </c>
      <c r="N30" s="39"/>
    </row>
    <row r="31" spans="1:14" s="11" customFormat="1" ht="24.95" customHeight="1" x14ac:dyDescent="0.2">
      <c r="A31" s="117"/>
      <c r="B31" s="10"/>
      <c r="C31" s="63"/>
      <c r="D31" s="63"/>
      <c r="E31" s="64"/>
      <c r="F31" s="84">
        <v>1</v>
      </c>
      <c r="G31" s="48" t="s">
        <v>147</v>
      </c>
      <c r="H31" s="65">
        <v>1000</v>
      </c>
      <c r="I31" s="65"/>
      <c r="J31" s="65">
        <f>F31*H31*0</f>
        <v>0</v>
      </c>
      <c r="K31" s="65"/>
      <c r="L31" s="133" t="s">
        <v>155</v>
      </c>
      <c r="N31" s="65" t="s">
        <v>165</v>
      </c>
    </row>
    <row r="32" spans="1:14" s="11" customFormat="1" ht="24.95" customHeight="1" x14ac:dyDescent="0.2">
      <c r="A32" s="117"/>
      <c r="B32" s="10"/>
      <c r="C32" s="63"/>
      <c r="D32" s="63"/>
      <c r="E32" s="64"/>
      <c r="F32" s="84">
        <v>1</v>
      </c>
      <c r="G32" s="48" t="s">
        <v>185</v>
      </c>
      <c r="H32" s="65">
        <v>350</v>
      </c>
      <c r="I32" s="65"/>
      <c r="J32" s="65">
        <f>F32*H32*0</f>
        <v>0</v>
      </c>
      <c r="K32" s="65"/>
      <c r="L32" s="133"/>
      <c r="N32" s="65" t="s">
        <v>183</v>
      </c>
    </row>
    <row r="33" spans="1:14" s="11" customFormat="1" ht="24.95" customHeight="1" x14ac:dyDescent="0.2">
      <c r="A33" s="117"/>
      <c r="B33" s="10"/>
      <c r="C33" s="63"/>
      <c r="D33" s="63"/>
      <c r="E33" s="64"/>
      <c r="F33" s="84">
        <v>1</v>
      </c>
      <c r="G33" s="48" t="s">
        <v>185</v>
      </c>
      <c r="H33" s="65">
        <v>800</v>
      </c>
      <c r="I33" s="65"/>
      <c r="J33" s="65">
        <f>F33*H33*0</f>
        <v>0</v>
      </c>
      <c r="K33" s="65"/>
      <c r="L33" s="133"/>
      <c r="N33" s="65" t="s">
        <v>184</v>
      </c>
    </row>
    <row r="34" spans="1:14" ht="24.95" customHeight="1" x14ac:dyDescent="0.2">
      <c r="A34" s="14">
        <v>8</v>
      </c>
      <c r="B34" s="22">
        <v>464</v>
      </c>
      <c r="C34" s="36" t="s">
        <v>20</v>
      </c>
      <c r="D34" s="36">
        <v>647</v>
      </c>
      <c r="E34" s="37" t="s">
        <v>96</v>
      </c>
      <c r="F34" s="85">
        <v>5.2</v>
      </c>
      <c r="G34" s="38" t="s">
        <v>147</v>
      </c>
      <c r="H34" s="39">
        <v>1800</v>
      </c>
      <c r="I34" s="39">
        <f t="shared" ref="I34:I62" si="2">F34*H34</f>
        <v>9360</v>
      </c>
      <c r="J34" s="39"/>
      <c r="K34" s="39"/>
      <c r="L34" s="134" t="s">
        <v>152</v>
      </c>
      <c r="N34" s="106" t="s">
        <v>180</v>
      </c>
    </row>
    <row r="35" spans="1:14" ht="24.95" customHeight="1" x14ac:dyDescent="0.2">
      <c r="A35" s="16"/>
      <c r="B35" s="75"/>
      <c r="C35" s="63"/>
      <c r="D35" s="63"/>
      <c r="E35" s="64"/>
      <c r="F35" s="84">
        <v>1</v>
      </c>
      <c r="G35" s="48" t="s">
        <v>147</v>
      </c>
      <c r="H35" s="65">
        <v>1000</v>
      </c>
      <c r="I35" s="65">
        <f t="shared" si="2"/>
        <v>1000</v>
      </c>
      <c r="J35" s="65"/>
      <c r="K35" s="65"/>
      <c r="L35" s="133" t="s">
        <v>155</v>
      </c>
      <c r="N35" s="108" t="s">
        <v>165</v>
      </c>
    </row>
    <row r="36" spans="1:14" ht="24.95" customHeight="1" x14ac:dyDescent="0.2">
      <c r="A36" s="16"/>
      <c r="B36" s="75"/>
      <c r="C36" s="63"/>
      <c r="D36" s="63"/>
      <c r="E36" s="64"/>
      <c r="F36" s="84">
        <v>1</v>
      </c>
      <c r="G36" s="48" t="s">
        <v>185</v>
      </c>
      <c r="H36" s="65">
        <v>350</v>
      </c>
      <c r="I36" s="65">
        <f t="shared" si="2"/>
        <v>350</v>
      </c>
      <c r="J36" s="65"/>
      <c r="K36" s="65"/>
      <c r="L36" s="133"/>
      <c r="N36" s="108" t="s">
        <v>183</v>
      </c>
    </row>
    <row r="37" spans="1:14" ht="24.95" customHeight="1" x14ac:dyDescent="0.2">
      <c r="A37" s="12"/>
      <c r="B37" s="13"/>
      <c r="C37" s="33"/>
      <c r="D37" s="33"/>
      <c r="E37" s="34"/>
      <c r="F37" s="84">
        <v>1</v>
      </c>
      <c r="G37" s="48" t="s">
        <v>185</v>
      </c>
      <c r="H37" s="65">
        <v>800</v>
      </c>
      <c r="I37" s="65">
        <f t="shared" si="2"/>
        <v>800</v>
      </c>
      <c r="J37" s="35"/>
      <c r="K37" s="35"/>
      <c r="L37" s="135"/>
      <c r="N37" s="108" t="s">
        <v>184</v>
      </c>
    </row>
    <row r="38" spans="1:14" ht="24.95" customHeight="1" x14ac:dyDescent="0.2">
      <c r="A38" s="14">
        <v>9</v>
      </c>
      <c r="B38" s="22">
        <v>1255</v>
      </c>
      <c r="C38" s="37" t="s">
        <v>136</v>
      </c>
      <c r="D38" s="36">
        <v>895</v>
      </c>
      <c r="E38" s="37" t="s">
        <v>21</v>
      </c>
      <c r="F38" s="85">
        <v>2.5</v>
      </c>
      <c r="G38" s="74" t="s">
        <v>147</v>
      </c>
      <c r="H38" s="39">
        <v>1800</v>
      </c>
      <c r="I38" s="73">
        <f t="shared" si="2"/>
        <v>4500</v>
      </c>
      <c r="J38" s="73"/>
      <c r="K38" s="73"/>
      <c r="L38" s="136" t="s">
        <v>153</v>
      </c>
      <c r="M38" s="11"/>
      <c r="N38" s="106" t="s">
        <v>180</v>
      </c>
    </row>
    <row r="39" spans="1:14" ht="24.95" customHeight="1" x14ac:dyDescent="0.2">
      <c r="A39" s="16"/>
      <c r="B39" s="75"/>
      <c r="C39" s="64"/>
      <c r="D39" s="63"/>
      <c r="E39" s="64"/>
      <c r="F39" s="84">
        <v>1.9</v>
      </c>
      <c r="G39" s="120" t="s">
        <v>147</v>
      </c>
      <c r="H39" s="65">
        <v>1550</v>
      </c>
      <c r="I39" s="130">
        <f t="shared" si="2"/>
        <v>2945</v>
      </c>
      <c r="J39" s="130"/>
      <c r="K39" s="130"/>
      <c r="L39" s="137" t="s">
        <v>154</v>
      </c>
      <c r="M39" s="11"/>
      <c r="N39" s="108"/>
    </row>
    <row r="40" spans="1:14" ht="24.95" customHeight="1" x14ac:dyDescent="0.2">
      <c r="A40" s="16"/>
      <c r="B40" s="75"/>
      <c r="C40" s="64"/>
      <c r="D40" s="63"/>
      <c r="E40" s="64"/>
      <c r="F40" s="84">
        <v>1</v>
      </c>
      <c r="G40" s="48" t="s">
        <v>147</v>
      </c>
      <c r="H40" s="65">
        <v>1000</v>
      </c>
      <c r="I40" s="130">
        <f t="shared" si="2"/>
        <v>1000</v>
      </c>
      <c r="J40" s="130"/>
      <c r="K40" s="130"/>
      <c r="L40" s="137" t="s">
        <v>155</v>
      </c>
      <c r="M40" s="11"/>
      <c r="N40" s="108" t="s">
        <v>165</v>
      </c>
    </row>
    <row r="41" spans="1:14" ht="24.95" customHeight="1" x14ac:dyDescent="0.2">
      <c r="A41" s="16"/>
      <c r="B41" s="75"/>
      <c r="C41" s="64"/>
      <c r="D41" s="63"/>
      <c r="E41" s="64"/>
      <c r="F41" s="84">
        <v>1</v>
      </c>
      <c r="G41" s="48" t="s">
        <v>185</v>
      </c>
      <c r="H41" s="65">
        <v>350</v>
      </c>
      <c r="I41" s="65">
        <f t="shared" si="2"/>
        <v>350</v>
      </c>
      <c r="J41" s="65"/>
      <c r="K41" s="65"/>
      <c r="L41" s="133"/>
      <c r="N41" s="108" t="s">
        <v>183</v>
      </c>
    </row>
    <row r="42" spans="1:14" ht="24.95" customHeight="1" x14ac:dyDescent="0.2">
      <c r="A42" s="16"/>
      <c r="B42" s="75"/>
      <c r="C42" s="64"/>
      <c r="D42" s="63"/>
      <c r="E42" s="64"/>
      <c r="F42" s="84">
        <v>1</v>
      </c>
      <c r="G42" s="48" t="s">
        <v>185</v>
      </c>
      <c r="H42" s="65">
        <v>800</v>
      </c>
      <c r="I42" s="65">
        <f t="shared" si="2"/>
        <v>800</v>
      </c>
      <c r="J42" s="35"/>
      <c r="K42" s="35"/>
      <c r="L42" s="135"/>
      <c r="N42" s="108" t="s">
        <v>184</v>
      </c>
    </row>
    <row r="43" spans="1:14" ht="24.95" customHeight="1" x14ac:dyDescent="0.2">
      <c r="A43" s="14">
        <v>10</v>
      </c>
      <c r="B43" s="36">
        <v>1228</v>
      </c>
      <c r="C43" s="37" t="s">
        <v>22</v>
      </c>
      <c r="D43" s="36">
        <v>756</v>
      </c>
      <c r="E43" s="37" t="s">
        <v>23</v>
      </c>
      <c r="F43" s="85">
        <v>3</v>
      </c>
      <c r="G43" s="74" t="s">
        <v>147</v>
      </c>
      <c r="H43" s="39">
        <v>1800</v>
      </c>
      <c r="I43" s="73">
        <f t="shared" si="2"/>
        <v>5400</v>
      </c>
      <c r="J43" s="73"/>
      <c r="K43" s="73"/>
      <c r="L43" s="136" t="s">
        <v>153</v>
      </c>
      <c r="M43" s="11"/>
      <c r="N43" s="39"/>
    </row>
    <row r="44" spans="1:14" ht="24.95" customHeight="1" x14ac:dyDescent="0.2">
      <c r="A44" s="16"/>
      <c r="B44" s="63"/>
      <c r="C44" s="64"/>
      <c r="D44" s="63"/>
      <c r="E44" s="64"/>
      <c r="F44" s="84">
        <v>2</v>
      </c>
      <c r="G44" s="120" t="s">
        <v>147</v>
      </c>
      <c r="H44" s="65">
        <v>1550</v>
      </c>
      <c r="I44" s="130">
        <f t="shared" si="2"/>
        <v>3100</v>
      </c>
      <c r="J44" s="130"/>
      <c r="K44" s="130"/>
      <c r="L44" s="137" t="s">
        <v>154</v>
      </c>
      <c r="M44" s="11"/>
      <c r="N44" s="65"/>
    </row>
    <row r="45" spans="1:14" ht="24.95" customHeight="1" x14ac:dyDescent="0.2">
      <c r="A45" s="16"/>
      <c r="B45" s="63"/>
      <c r="C45" s="64"/>
      <c r="D45" s="63"/>
      <c r="E45" s="64"/>
      <c r="F45" s="84">
        <v>1</v>
      </c>
      <c r="G45" s="48" t="s">
        <v>147</v>
      </c>
      <c r="H45" s="65">
        <v>1000</v>
      </c>
      <c r="I45" s="130">
        <f t="shared" si="2"/>
        <v>1000</v>
      </c>
      <c r="J45" s="130"/>
      <c r="K45" s="130"/>
      <c r="L45" s="137" t="s">
        <v>155</v>
      </c>
      <c r="M45" s="11"/>
      <c r="N45" s="65" t="s">
        <v>165</v>
      </c>
    </row>
    <row r="46" spans="1:14" ht="24.95" customHeight="1" x14ac:dyDescent="0.2">
      <c r="A46" s="16"/>
      <c r="B46" s="63"/>
      <c r="C46" s="64"/>
      <c r="D46" s="63"/>
      <c r="E46" s="64"/>
      <c r="F46" s="84">
        <v>1</v>
      </c>
      <c r="G46" s="48" t="s">
        <v>185</v>
      </c>
      <c r="H46" s="65">
        <v>350</v>
      </c>
      <c r="I46" s="65">
        <f>F46*H46</f>
        <v>350</v>
      </c>
      <c r="J46" s="65"/>
      <c r="K46" s="65"/>
      <c r="L46" s="133"/>
      <c r="N46" s="65" t="s">
        <v>183</v>
      </c>
    </row>
    <row r="47" spans="1:14" ht="24.95" customHeight="1" x14ac:dyDescent="0.2">
      <c r="A47" s="16"/>
      <c r="B47" s="63"/>
      <c r="C47" s="64"/>
      <c r="D47" s="63"/>
      <c r="E47" s="64"/>
      <c r="F47" s="84">
        <v>1</v>
      </c>
      <c r="G47" s="48" t="s">
        <v>185</v>
      </c>
      <c r="H47" s="65">
        <v>800</v>
      </c>
      <c r="I47" s="65">
        <f>F47*H47</f>
        <v>800</v>
      </c>
      <c r="J47" s="35"/>
      <c r="K47" s="35"/>
      <c r="L47" s="135"/>
      <c r="N47" s="65" t="s">
        <v>184</v>
      </c>
    </row>
    <row r="48" spans="1:14" ht="24.95" customHeight="1" x14ac:dyDescent="0.2">
      <c r="A48" s="14">
        <v>11</v>
      </c>
      <c r="B48" s="22">
        <v>1188</v>
      </c>
      <c r="C48" s="37" t="s">
        <v>137</v>
      </c>
      <c r="D48" s="36">
        <v>1117</v>
      </c>
      <c r="E48" s="37" t="s">
        <v>181</v>
      </c>
      <c r="F48" s="85">
        <v>2</v>
      </c>
      <c r="G48" s="74" t="s">
        <v>147</v>
      </c>
      <c r="H48" s="39">
        <v>1800</v>
      </c>
      <c r="I48" s="73">
        <f t="shared" si="2"/>
        <v>3600</v>
      </c>
      <c r="J48" s="73"/>
      <c r="K48" s="73"/>
      <c r="L48" s="136" t="s">
        <v>153</v>
      </c>
      <c r="M48" s="11"/>
      <c r="N48" s="106" t="s">
        <v>180</v>
      </c>
    </row>
    <row r="49" spans="1:14" ht="24.95" customHeight="1" x14ac:dyDescent="0.2">
      <c r="A49" s="16"/>
      <c r="B49" s="75"/>
      <c r="C49" s="64"/>
      <c r="D49" s="63"/>
      <c r="E49" s="64"/>
      <c r="F49" s="84">
        <v>2.2000000000000002</v>
      </c>
      <c r="G49" s="120" t="s">
        <v>147</v>
      </c>
      <c r="H49" s="65">
        <v>1550</v>
      </c>
      <c r="I49" s="130">
        <f t="shared" si="2"/>
        <v>3410.0000000000005</v>
      </c>
      <c r="J49" s="130"/>
      <c r="K49" s="130"/>
      <c r="L49" s="137" t="s">
        <v>154</v>
      </c>
      <c r="M49" s="11"/>
      <c r="N49" s="108"/>
    </row>
    <row r="50" spans="1:14" ht="24.95" customHeight="1" x14ac:dyDescent="0.2">
      <c r="A50" s="16"/>
      <c r="B50" s="75"/>
      <c r="C50" s="64"/>
      <c r="D50" s="63"/>
      <c r="E50" s="64"/>
      <c r="F50" s="84">
        <v>1</v>
      </c>
      <c r="G50" s="48" t="s">
        <v>147</v>
      </c>
      <c r="H50" s="65">
        <v>1000</v>
      </c>
      <c r="I50" s="130">
        <f t="shared" si="2"/>
        <v>1000</v>
      </c>
      <c r="J50" s="130"/>
      <c r="K50" s="130"/>
      <c r="L50" s="137" t="s">
        <v>155</v>
      </c>
      <c r="M50" s="11"/>
      <c r="N50" s="108" t="s">
        <v>165</v>
      </c>
    </row>
    <row r="51" spans="1:14" ht="24.95" customHeight="1" x14ac:dyDescent="0.2">
      <c r="A51" s="16"/>
      <c r="B51" s="75"/>
      <c r="C51" s="64"/>
      <c r="D51" s="63"/>
      <c r="E51" s="64"/>
      <c r="F51" s="84">
        <v>1</v>
      </c>
      <c r="G51" s="48" t="s">
        <v>185</v>
      </c>
      <c r="H51" s="65">
        <v>350</v>
      </c>
      <c r="I51" s="65">
        <f>F51*H51</f>
        <v>350</v>
      </c>
      <c r="J51" s="65"/>
      <c r="K51" s="65"/>
      <c r="L51" s="133"/>
      <c r="N51" s="108" t="s">
        <v>183</v>
      </c>
    </row>
    <row r="52" spans="1:14" ht="24.95" customHeight="1" x14ac:dyDescent="0.2">
      <c r="A52" s="16"/>
      <c r="B52" s="75"/>
      <c r="C52" s="64"/>
      <c r="D52" s="63"/>
      <c r="E52" s="64"/>
      <c r="F52" s="84">
        <v>1</v>
      </c>
      <c r="G52" s="48" t="s">
        <v>185</v>
      </c>
      <c r="H52" s="65">
        <v>800</v>
      </c>
      <c r="I52" s="65">
        <f>F52*H52</f>
        <v>800</v>
      </c>
      <c r="J52" s="35"/>
      <c r="K52" s="35"/>
      <c r="L52" s="135"/>
      <c r="N52" s="108" t="s">
        <v>184</v>
      </c>
    </row>
    <row r="53" spans="1:14" ht="24.95" customHeight="1" x14ac:dyDescent="0.2">
      <c r="A53" s="14">
        <v>12</v>
      </c>
      <c r="B53" s="36">
        <v>1101</v>
      </c>
      <c r="C53" s="37" t="s">
        <v>24</v>
      </c>
      <c r="D53" s="36">
        <v>1146</v>
      </c>
      <c r="E53" s="37" t="s">
        <v>25</v>
      </c>
      <c r="F53" s="85">
        <v>4</v>
      </c>
      <c r="G53" s="74" t="s">
        <v>147</v>
      </c>
      <c r="H53" s="39">
        <v>1800</v>
      </c>
      <c r="I53" s="73">
        <f t="shared" si="2"/>
        <v>7200</v>
      </c>
      <c r="J53" s="73"/>
      <c r="K53" s="73"/>
      <c r="L53" s="136" t="s">
        <v>153</v>
      </c>
      <c r="M53" s="11"/>
      <c r="N53" s="39"/>
    </row>
    <row r="54" spans="1:14" ht="24.95" customHeight="1" x14ac:dyDescent="0.2">
      <c r="A54" s="16"/>
      <c r="B54" s="63"/>
      <c r="C54" s="64"/>
      <c r="D54" s="63"/>
      <c r="E54" s="64"/>
      <c r="F54" s="84">
        <v>2</v>
      </c>
      <c r="G54" s="120" t="s">
        <v>147</v>
      </c>
      <c r="H54" s="65">
        <v>1000</v>
      </c>
      <c r="I54" s="130">
        <f t="shared" si="2"/>
        <v>2000</v>
      </c>
      <c r="J54" s="130"/>
      <c r="K54" s="130"/>
      <c r="L54" s="137" t="s">
        <v>155</v>
      </c>
      <c r="M54" s="11"/>
      <c r="N54" s="65"/>
    </row>
    <row r="55" spans="1:14" ht="24.95" customHeight="1" x14ac:dyDescent="0.2">
      <c r="A55" s="16"/>
      <c r="B55" s="63"/>
      <c r="C55" s="64"/>
      <c r="D55" s="63"/>
      <c r="E55" s="64"/>
      <c r="F55" s="84">
        <v>1</v>
      </c>
      <c r="G55" s="48" t="s">
        <v>147</v>
      </c>
      <c r="H55" s="65">
        <v>1000</v>
      </c>
      <c r="I55" s="130">
        <f t="shared" si="2"/>
        <v>1000</v>
      </c>
      <c r="J55" s="130"/>
      <c r="K55" s="130"/>
      <c r="L55" s="137" t="s">
        <v>155</v>
      </c>
      <c r="M55" s="11"/>
      <c r="N55" s="65" t="s">
        <v>165</v>
      </c>
    </row>
    <row r="56" spans="1:14" ht="24.95" customHeight="1" x14ac:dyDescent="0.2">
      <c r="A56" s="16"/>
      <c r="B56" s="63"/>
      <c r="C56" s="64"/>
      <c r="D56" s="63"/>
      <c r="E56" s="64"/>
      <c r="F56" s="84">
        <v>1</v>
      </c>
      <c r="G56" s="48" t="s">
        <v>185</v>
      </c>
      <c r="H56" s="65">
        <v>350</v>
      </c>
      <c r="I56" s="65">
        <f t="shared" si="2"/>
        <v>350</v>
      </c>
      <c r="J56" s="65"/>
      <c r="K56" s="65"/>
      <c r="L56" s="133"/>
      <c r="N56" s="65" t="s">
        <v>183</v>
      </c>
    </row>
    <row r="57" spans="1:14" ht="24.95" customHeight="1" x14ac:dyDescent="0.2">
      <c r="A57" s="16"/>
      <c r="B57" s="63"/>
      <c r="C57" s="64"/>
      <c r="D57" s="63"/>
      <c r="E57" s="64"/>
      <c r="F57" s="84">
        <v>1</v>
      </c>
      <c r="G57" s="48" t="s">
        <v>185</v>
      </c>
      <c r="H57" s="65">
        <v>800</v>
      </c>
      <c r="I57" s="65">
        <f t="shared" si="2"/>
        <v>800</v>
      </c>
      <c r="J57" s="35"/>
      <c r="K57" s="35"/>
      <c r="L57" s="135"/>
      <c r="N57" s="65" t="s">
        <v>184</v>
      </c>
    </row>
    <row r="58" spans="1:14" ht="24.95" customHeight="1" x14ac:dyDescent="0.2">
      <c r="A58" s="14">
        <v>13</v>
      </c>
      <c r="B58" s="36">
        <v>1182</v>
      </c>
      <c r="C58" s="37" t="s">
        <v>26</v>
      </c>
      <c r="D58" s="36">
        <v>361</v>
      </c>
      <c r="E58" s="37" t="s">
        <v>27</v>
      </c>
      <c r="F58" s="85">
        <v>2</v>
      </c>
      <c r="G58" s="74" t="s">
        <v>147</v>
      </c>
      <c r="H58" s="39">
        <v>1800</v>
      </c>
      <c r="I58" s="73">
        <f t="shared" si="2"/>
        <v>3600</v>
      </c>
      <c r="J58" s="73"/>
      <c r="K58" s="73"/>
      <c r="L58" s="136" t="s">
        <v>153</v>
      </c>
      <c r="M58" s="11"/>
      <c r="N58" s="39"/>
    </row>
    <row r="59" spans="1:14" ht="24.95" customHeight="1" x14ac:dyDescent="0.2">
      <c r="A59" s="16"/>
      <c r="B59" s="63"/>
      <c r="C59" s="64"/>
      <c r="D59" s="63"/>
      <c r="E59" s="64"/>
      <c r="F59" s="84">
        <v>2</v>
      </c>
      <c r="G59" s="120" t="s">
        <v>147</v>
      </c>
      <c r="H59" s="65">
        <v>1000</v>
      </c>
      <c r="I59" s="130">
        <f t="shared" si="2"/>
        <v>2000</v>
      </c>
      <c r="J59" s="130"/>
      <c r="K59" s="130"/>
      <c r="L59" s="137" t="s">
        <v>155</v>
      </c>
      <c r="M59" s="11"/>
      <c r="N59" s="65"/>
    </row>
    <row r="60" spans="1:14" ht="24.95" customHeight="1" x14ac:dyDescent="0.2">
      <c r="A60" s="16"/>
      <c r="B60" s="63"/>
      <c r="C60" s="64"/>
      <c r="D60" s="63"/>
      <c r="E60" s="64"/>
      <c r="F60" s="84">
        <v>1</v>
      </c>
      <c r="G60" s="48" t="s">
        <v>147</v>
      </c>
      <c r="H60" s="65">
        <v>1000</v>
      </c>
      <c r="I60" s="130">
        <f t="shared" si="2"/>
        <v>1000</v>
      </c>
      <c r="J60" s="130"/>
      <c r="K60" s="130"/>
      <c r="L60" s="137" t="s">
        <v>155</v>
      </c>
      <c r="M60" s="11"/>
      <c r="N60" s="65" t="s">
        <v>165</v>
      </c>
    </row>
    <row r="61" spans="1:14" ht="24.95" customHeight="1" x14ac:dyDescent="0.2">
      <c r="A61" s="16"/>
      <c r="B61" s="63"/>
      <c r="C61" s="64"/>
      <c r="D61" s="63"/>
      <c r="E61" s="64"/>
      <c r="F61" s="84">
        <v>1</v>
      </c>
      <c r="G61" s="48" t="s">
        <v>185</v>
      </c>
      <c r="H61" s="65">
        <v>350</v>
      </c>
      <c r="I61" s="65">
        <f t="shared" si="2"/>
        <v>350</v>
      </c>
      <c r="J61" s="65"/>
      <c r="K61" s="65"/>
      <c r="L61" s="133"/>
      <c r="N61" s="65" t="s">
        <v>183</v>
      </c>
    </row>
    <row r="62" spans="1:14" ht="24.95" customHeight="1" x14ac:dyDescent="0.2">
      <c r="A62" s="16"/>
      <c r="B62" s="63"/>
      <c r="C62" s="64"/>
      <c r="D62" s="63"/>
      <c r="E62" s="64"/>
      <c r="F62" s="84">
        <v>1</v>
      </c>
      <c r="G62" s="48" t="s">
        <v>185</v>
      </c>
      <c r="H62" s="65">
        <v>800</v>
      </c>
      <c r="I62" s="65">
        <f t="shared" si="2"/>
        <v>800</v>
      </c>
      <c r="J62" s="35"/>
      <c r="K62" s="35"/>
      <c r="L62" s="135"/>
      <c r="N62" s="65" t="s">
        <v>184</v>
      </c>
    </row>
    <row r="63" spans="1:14" ht="24.95" customHeight="1" x14ac:dyDescent="0.2">
      <c r="A63" s="109">
        <v>14</v>
      </c>
      <c r="B63" s="9" t="s">
        <v>63</v>
      </c>
      <c r="C63" s="36" t="s">
        <v>29</v>
      </c>
      <c r="D63" s="36">
        <v>446</v>
      </c>
      <c r="E63" s="37" t="s">
        <v>30</v>
      </c>
      <c r="F63" s="85">
        <v>4</v>
      </c>
      <c r="G63" s="38" t="s">
        <v>147</v>
      </c>
      <c r="H63" s="39">
        <v>1800</v>
      </c>
      <c r="I63" s="39"/>
      <c r="J63" s="39">
        <f>F63*H63*0</f>
        <v>0</v>
      </c>
      <c r="K63" s="39"/>
      <c r="L63" s="134" t="s">
        <v>153</v>
      </c>
      <c r="M63" s="11"/>
      <c r="N63" s="39"/>
    </row>
    <row r="64" spans="1:14" ht="24.95" customHeight="1" x14ac:dyDescent="0.2">
      <c r="A64" s="119"/>
      <c r="B64" s="123"/>
      <c r="C64" s="63"/>
      <c r="D64" s="63"/>
      <c r="E64" s="64"/>
      <c r="F64" s="84">
        <v>2</v>
      </c>
      <c r="G64" s="48" t="s">
        <v>147</v>
      </c>
      <c r="H64" s="65">
        <v>1000</v>
      </c>
      <c r="I64" s="65"/>
      <c r="J64" s="65">
        <f>F64*H64*0</f>
        <v>0</v>
      </c>
      <c r="K64" s="65"/>
      <c r="L64" s="133" t="s">
        <v>155</v>
      </c>
      <c r="M64" s="11"/>
      <c r="N64" s="65"/>
    </row>
    <row r="65" spans="1:14" ht="24.95" customHeight="1" x14ac:dyDescent="0.2">
      <c r="A65" s="119"/>
      <c r="B65" s="123"/>
      <c r="C65" s="63"/>
      <c r="D65" s="63"/>
      <c r="E65" s="64"/>
      <c r="F65" s="84">
        <v>1</v>
      </c>
      <c r="G65" s="48" t="s">
        <v>147</v>
      </c>
      <c r="H65" s="65">
        <v>1000</v>
      </c>
      <c r="I65" s="65"/>
      <c r="J65" s="65">
        <f>F65*H65*0</f>
        <v>0</v>
      </c>
      <c r="K65" s="65"/>
      <c r="L65" s="133" t="s">
        <v>155</v>
      </c>
      <c r="M65" s="11"/>
      <c r="N65" s="65" t="s">
        <v>165</v>
      </c>
    </row>
    <row r="66" spans="1:14" ht="24.95" customHeight="1" x14ac:dyDescent="0.2">
      <c r="A66" s="119"/>
      <c r="B66" s="123"/>
      <c r="C66" s="63"/>
      <c r="D66" s="63"/>
      <c r="E66" s="64"/>
      <c r="F66" s="84">
        <v>1</v>
      </c>
      <c r="G66" s="48" t="s">
        <v>185</v>
      </c>
      <c r="H66" s="65">
        <v>350</v>
      </c>
      <c r="I66" s="65"/>
      <c r="J66" s="65">
        <f>F66*H66*0</f>
        <v>0</v>
      </c>
      <c r="K66" s="65"/>
      <c r="L66" s="133"/>
      <c r="M66" s="11"/>
      <c r="N66" s="65" t="s">
        <v>183</v>
      </c>
    </row>
    <row r="67" spans="1:14" ht="24.95" customHeight="1" x14ac:dyDescent="0.2">
      <c r="A67" s="119"/>
      <c r="B67" s="123"/>
      <c r="C67" s="63"/>
      <c r="D67" s="63"/>
      <c r="E67" s="64"/>
      <c r="F67" s="84">
        <v>1</v>
      </c>
      <c r="G67" s="48" t="s">
        <v>185</v>
      </c>
      <c r="H67" s="65">
        <v>800</v>
      </c>
      <c r="I67" s="65"/>
      <c r="J67" s="65">
        <f>F67*H67*0</f>
        <v>0</v>
      </c>
      <c r="K67" s="65"/>
      <c r="L67" s="133"/>
      <c r="M67" s="11"/>
      <c r="N67" s="65" t="s">
        <v>184</v>
      </c>
    </row>
    <row r="68" spans="1:14" ht="24.95" customHeight="1" x14ac:dyDescent="0.2">
      <c r="A68" s="14">
        <v>15</v>
      </c>
      <c r="B68" s="36">
        <v>179</v>
      </c>
      <c r="C68" s="37" t="s">
        <v>5</v>
      </c>
      <c r="D68" s="36">
        <v>1078</v>
      </c>
      <c r="E68" s="37" t="s">
        <v>31</v>
      </c>
      <c r="F68" s="85">
        <f>2*0+2.875+0.025-2</f>
        <v>0.89999999999999991</v>
      </c>
      <c r="G68" s="74" t="s">
        <v>147</v>
      </c>
      <c r="H68" s="39">
        <v>1800</v>
      </c>
      <c r="I68" s="73">
        <f t="shared" ref="I68:I80" si="3">F68*H68</f>
        <v>1619.9999999999998</v>
      </c>
      <c r="J68" s="73"/>
      <c r="K68" s="73"/>
      <c r="L68" s="136" t="s">
        <v>153</v>
      </c>
      <c r="M68" s="11"/>
      <c r="N68" s="106" t="s">
        <v>160</v>
      </c>
    </row>
    <row r="69" spans="1:14" ht="24.95" customHeight="1" x14ac:dyDescent="0.2">
      <c r="A69" s="16"/>
      <c r="B69" s="63"/>
      <c r="C69" s="64"/>
      <c r="D69" s="63"/>
      <c r="E69" s="64"/>
      <c r="F69" s="84">
        <v>2</v>
      </c>
      <c r="G69" s="120" t="s">
        <v>147</v>
      </c>
      <c r="H69" s="65">
        <v>1550</v>
      </c>
      <c r="I69" s="130">
        <f t="shared" si="3"/>
        <v>3100</v>
      </c>
      <c r="J69" s="130"/>
      <c r="K69" s="130"/>
      <c r="L69" s="137" t="s">
        <v>154</v>
      </c>
      <c r="M69" s="11"/>
      <c r="N69" s="108"/>
    </row>
    <row r="70" spans="1:14" ht="24.95" customHeight="1" x14ac:dyDescent="0.2">
      <c r="A70" s="16"/>
      <c r="B70" s="63"/>
      <c r="C70" s="64"/>
      <c r="D70" s="63"/>
      <c r="E70" s="64"/>
      <c r="F70" s="84">
        <v>1</v>
      </c>
      <c r="G70" s="48" t="s">
        <v>147</v>
      </c>
      <c r="H70" s="65">
        <v>1000</v>
      </c>
      <c r="I70" s="130">
        <f t="shared" si="3"/>
        <v>1000</v>
      </c>
      <c r="J70" s="130"/>
      <c r="K70" s="130"/>
      <c r="L70" s="137" t="s">
        <v>155</v>
      </c>
      <c r="M70" s="11"/>
      <c r="N70" s="108" t="s">
        <v>165</v>
      </c>
    </row>
    <row r="71" spans="1:14" ht="24.95" customHeight="1" x14ac:dyDescent="0.2">
      <c r="A71" s="16"/>
      <c r="B71" s="63"/>
      <c r="C71" s="64"/>
      <c r="D71" s="63"/>
      <c r="E71" s="64"/>
      <c r="F71" s="84">
        <v>1</v>
      </c>
      <c r="G71" s="48" t="s">
        <v>185</v>
      </c>
      <c r="H71" s="65">
        <v>350</v>
      </c>
      <c r="I71" s="65">
        <f>F71*H71</f>
        <v>350</v>
      </c>
      <c r="J71" s="65"/>
      <c r="K71" s="65"/>
      <c r="L71" s="133"/>
      <c r="N71" s="108" t="s">
        <v>183</v>
      </c>
    </row>
    <row r="72" spans="1:14" ht="24.95" customHeight="1" x14ac:dyDescent="0.2">
      <c r="A72" s="16"/>
      <c r="B72" s="63"/>
      <c r="C72" s="64"/>
      <c r="D72" s="63"/>
      <c r="E72" s="64"/>
      <c r="F72" s="84">
        <v>1</v>
      </c>
      <c r="G72" s="48" t="s">
        <v>185</v>
      </c>
      <c r="H72" s="65">
        <v>800</v>
      </c>
      <c r="I72" s="65">
        <f>F72*H72</f>
        <v>800</v>
      </c>
      <c r="J72" s="35"/>
      <c r="K72" s="35"/>
      <c r="L72" s="135"/>
      <c r="N72" s="108" t="s">
        <v>184</v>
      </c>
    </row>
    <row r="73" spans="1:14" ht="24.95" customHeight="1" x14ac:dyDescent="0.2">
      <c r="A73" s="14">
        <v>16</v>
      </c>
      <c r="B73" s="36">
        <v>1501</v>
      </c>
      <c r="C73" s="37" t="s">
        <v>32</v>
      </c>
      <c r="D73" s="36">
        <v>830</v>
      </c>
      <c r="E73" s="37" t="s">
        <v>33</v>
      </c>
      <c r="F73" s="85">
        <f>1.5*0+3.165+0.035-2</f>
        <v>1.2000000000000002</v>
      </c>
      <c r="G73" s="74" t="s">
        <v>147</v>
      </c>
      <c r="H73" s="39">
        <v>1800</v>
      </c>
      <c r="I73" s="73">
        <f t="shared" si="3"/>
        <v>2160.0000000000005</v>
      </c>
      <c r="J73" s="73"/>
      <c r="K73" s="73"/>
      <c r="L73" s="136" t="s">
        <v>153</v>
      </c>
      <c r="M73" s="11"/>
      <c r="N73" s="106" t="s">
        <v>160</v>
      </c>
    </row>
    <row r="74" spans="1:14" ht="24.95" customHeight="1" x14ac:dyDescent="0.2">
      <c r="A74" s="16"/>
      <c r="B74" s="63"/>
      <c r="C74" s="64"/>
      <c r="D74" s="63"/>
      <c r="E74" s="64"/>
      <c r="F74" s="84">
        <v>2</v>
      </c>
      <c r="G74" s="120" t="s">
        <v>147</v>
      </c>
      <c r="H74" s="65">
        <v>1550</v>
      </c>
      <c r="I74" s="130">
        <f t="shared" si="3"/>
        <v>3100</v>
      </c>
      <c r="J74" s="130"/>
      <c r="K74" s="130"/>
      <c r="L74" s="137" t="s">
        <v>154</v>
      </c>
      <c r="M74" s="11"/>
      <c r="N74" s="108"/>
    </row>
    <row r="75" spans="1:14" ht="24.95" customHeight="1" x14ac:dyDescent="0.2">
      <c r="A75" s="16"/>
      <c r="B75" s="63"/>
      <c r="C75" s="64"/>
      <c r="D75" s="63"/>
      <c r="E75" s="64"/>
      <c r="F75" s="84">
        <v>1</v>
      </c>
      <c r="G75" s="48" t="s">
        <v>147</v>
      </c>
      <c r="H75" s="65">
        <v>1000</v>
      </c>
      <c r="I75" s="130">
        <f t="shared" si="3"/>
        <v>1000</v>
      </c>
      <c r="J75" s="130"/>
      <c r="K75" s="130"/>
      <c r="L75" s="137" t="s">
        <v>155</v>
      </c>
      <c r="M75" s="11"/>
      <c r="N75" s="108" t="s">
        <v>165</v>
      </c>
    </row>
    <row r="76" spans="1:14" ht="24.95" customHeight="1" x14ac:dyDescent="0.2">
      <c r="A76" s="16"/>
      <c r="B76" s="63"/>
      <c r="C76" s="64"/>
      <c r="D76" s="63"/>
      <c r="E76" s="64"/>
      <c r="F76" s="84">
        <v>1</v>
      </c>
      <c r="G76" s="48" t="s">
        <v>185</v>
      </c>
      <c r="H76" s="65">
        <v>350</v>
      </c>
      <c r="I76" s="65">
        <f>F76*H76</f>
        <v>350</v>
      </c>
      <c r="J76" s="65"/>
      <c r="K76" s="65"/>
      <c r="L76" s="133"/>
      <c r="N76" s="108" t="s">
        <v>183</v>
      </c>
    </row>
    <row r="77" spans="1:14" ht="24.95" customHeight="1" x14ac:dyDescent="0.2">
      <c r="A77" s="16"/>
      <c r="B77" s="63"/>
      <c r="C77" s="64"/>
      <c r="D77" s="63"/>
      <c r="E77" s="64"/>
      <c r="F77" s="84">
        <v>1</v>
      </c>
      <c r="G77" s="48" t="s">
        <v>185</v>
      </c>
      <c r="H77" s="65">
        <v>800</v>
      </c>
      <c r="I77" s="65">
        <f>F77*H77</f>
        <v>800</v>
      </c>
      <c r="J77" s="35"/>
      <c r="K77" s="35"/>
      <c r="L77" s="135"/>
      <c r="N77" s="108" t="s">
        <v>184</v>
      </c>
    </row>
    <row r="78" spans="1:14" ht="24.95" customHeight="1" x14ac:dyDescent="0.2">
      <c r="A78" s="14">
        <v>17</v>
      </c>
      <c r="B78" s="36">
        <v>1244</v>
      </c>
      <c r="C78" s="37" t="s">
        <v>34</v>
      </c>
      <c r="D78" s="36">
        <v>882</v>
      </c>
      <c r="E78" s="37" t="s">
        <v>35</v>
      </c>
      <c r="F78" s="85">
        <f>5*0+3.115+0.085-2</f>
        <v>1.2000000000000002</v>
      </c>
      <c r="G78" s="74" t="s">
        <v>147</v>
      </c>
      <c r="H78" s="39">
        <v>1800</v>
      </c>
      <c r="I78" s="73">
        <f t="shared" si="3"/>
        <v>2160.0000000000005</v>
      </c>
      <c r="J78" s="73"/>
      <c r="K78" s="73"/>
      <c r="L78" s="136" t="s">
        <v>153</v>
      </c>
      <c r="M78" s="11"/>
      <c r="N78" s="106" t="s">
        <v>169</v>
      </c>
    </row>
    <row r="79" spans="1:14" ht="24.95" customHeight="1" x14ac:dyDescent="0.2">
      <c r="A79" s="16"/>
      <c r="B79" s="63"/>
      <c r="C79" s="64"/>
      <c r="D79" s="63"/>
      <c r="E79" s="64" t="s">
        <v>95</v>
      </c>
      <c r="F79" s="84">
        <v>2</v>
      </c>
      <c r="G79" s="120" t="s">
        <v>147</v>
      </c>
      <c r="H79" s="65">
        <v>1000</v>
      </c>
      <c r="I79" s="130">
        <f t="shared" si="3"/>
        <v>2000</v>
      </c>
      <c r="J79" s="130"/>
      <c r="K79" s="130"/>
      <c r="L79" s="137" t="s">
        <v>155</v>
      </c>
      <c r="M79" s="11"/>
      <c r="N79" s="108"/>
    </row>
    <row r="80" spans="1:14" ht="24.95" customHeight="1" x14ac:dyDescent="0.2">
      <c r="A80" s="16"/>
      <c r="B80" s="63"/>
      <c r="C80" s="64"/>
      <c r="D80" s="63"/>
      <c r="E80" s="64"/>
      <c r="F80" s="84">
        <v>1</v>
      </c>
      <c r="G80" s="48" t="s">
        <v>147</v>
      </c>
      <c r="H80" s="65">
        <v>1000</v>
      </c>
      <c r="I80" s="130">
        <f t="shared" si="3"/>
        <v>1000</v>
      </c>
      <c r="J80" s="130"/>
      <c r="K80" s="130"/>
      <c r="L80" s="137" t="s">
        <v>155</v>
      </c>
      <c r="M80" s="11"/>
      <c r="N80" s="108" t="s">
        <v>165</v>
      </c>
    </row>
    <row r="81" spans="1:14" ht="24.95" customHeight="1" x14ac:dyDescent="0.2">
      <c r="A81" s="16"/>
      <c r="B81" s="63"/>
      <c r="C81" s="64"/>
      <c r="D81" s="63"/>
      <c r="E81" s="64"/>
      <c r="F81" s="84">
        <v>0</v>
      </c>
      <c r="G81" s="48" t="s">
        <v>185</v>
      </c>
      <c r="H81" s="65">
        <v>350</v>
      </c>
      <c r="I81" s="65">
        <f>F81*H81</f>
        <v>0</v>
      </c>
      <c r="J81" s="65"/>
      <c r="K81" s="65"/>
      <c r="L81" s="133"/>
      <c r="N81" s="108" t="s">
        <v>183</v>
      </c>
    </row>
    <row r="82" spans="1:14" ht="24.95" customHeight="1" x14ac:dyDescent="0.2">
      <c r="A82" s="16"/>
      <c r="B82" s="63"/>
      <c r="C82" s="64"/>
      <c r="D82" s="63"/>
      <c r="E82" s="64"/>
      <c r="F82" s="84">
        <v>1</v>
      </c>
      <c r="G82" s="48" t="s">
        <v>185</v>
      </c>
      <c r="H82" s="65">
        <v>800</v>
      </c>
      <c r="I82" s="65">
        <f>F82*H82</f>
        <v>800</v>
      </c>
      <c r="J82" s="35"/>
      <c r="K82" s="35"/>
      <c r="L82" s="135"/>
      <c r="N82" s="108" t="s">
        <v>184</v>
      </c>
    </row>
    <row r="83" spans="1:14" ht="24.95" customHeight="1" x14ac:dyDescent="0.2">
      <c r="A83" s="109">
        <v>18</v>
      </c>
      <c r="B83" s="9">
        <v>1110</v>
      </c>
      <c r="C83" s="36" t="s">
        <v>36</v>
      </c>
      <c r="D83" s="36">
        <v>1033</v>
      </c>
      <c r="E83" s="37" t="s">
        <v>38</v>
      </c>
      <c r="F83" s="85">
        <v>1</v>
      </c>
      <c r="G83" s="38" t="s">
        <v>147</v>
      </c>
      <c r="H83" s="39">
        <v>1800</v>
      </c>
      <c r="I83" s="39"/>
      <c r="J83" s="39">
        <f>F83*H83*0</f>
        <v>0</v>
      </c>
      <c r="K83" s="39"/>
      <c r="L83" s="134" t="s">
        <v>153</v>
      </c>
      <c r="M83" s="11"/>
      <c r="N83" s="39"/>
    </row>
    <row r="84" spans="1:14" ht="24.95" customHeight="1" x14ac:dyDescent="0.2">
      <c r="A84" s="119"/>
      <c r="B84" s="123"/>
      <c r="C84" s="63"/>
      <c r="D84" s="63"/>
      <c r="E84" s="64"/>
      <c r="F84" s="84">
        <v>2</v>
      </c>
      <c r="G84" s="48" t="s">
        <v>147</v>
      </c>
      <c r="H84" s="65">
        <v>1550</v>
      </c>
      <c r="I84" s="65"/>
      <c r="J84" s="65">
        <f>F84*H84*0</f>
        <v>0</v>
      </c>
      <c r="K84" s="65"/>
      <c r="L84" s="133" t="s">
        <v>154</v>
      </c>
      <c r="M84" s="11"/>
      <c r="N84" s="65"/>
    </row>
    <row r="85" spans="1:14" ht="24.95" customHeight="1" x14ac:dyDescent="0.2">
      <c r="A85" s="119"/>
      <c r="B85" s="123"/>
      <c r="C85" s="63"/>
      <c r="D85" s="63"/>
      <c r="E85" s="64"/>
      <c r="F85" s="84">
        <v>1</v>
      </c>
      <c r="G85" s="48" t="s">
        <v>147</v>
      </c>
      <c r="H85" s="65">
        <v>1000</v>
      </c>
      <c r="I85" s="65"/>
      <c r="J85" s="65">
        <f>F85*H85*0</f>
        <v>0</v>
      </c>
      <c r="K85" s="65"/>
      <c r="L85" s="133" t="s">
        <v>155</v>
      </c>
      <c r="M85" s="11"/>
      <c r="N85" s="65" t="s">
        <v>165</v>
      </c>
    </row>
    <row r="86" spans="1:14" ht="24.95" customHeight="1" x14ac:dyDescent="0.2">
      <c r="A86" s="119"/>
      <c r="B86" s="123"/>
      <c r="C86" s="63"/>
      <c r="D86" s="63"/>
      <c r="E86" s="64"/>
      <c r="F86" s="84">
        <v>1</v>
      </c>
      <c r="G86" s="48" t="s">
        <v>185</v>
      </c>
      <c r="H86" s="65">
        <v>350</v>
      </c>
      <c r="I86" s="65"/>
      <c r="J86" s="65">
        <f>F86*H86*0</f>
        <v>0</v>
      </c>
      <c r="K86" s="65"/>
      <c r="L86" s="133"/>
      <c r="M86" s="11"/>
      <c r="N86" s="65" t="s">
        <v>183</v>
      </c>
    </row>
    <row r="87" spans="1:14" ht="24.95" customHeight="1" x14ac:dyDescent="0.2">
      <c r="A87" s="119"/>
      <c r="B87" s="123"/>
      <c r="C87" s="63"/>
      <c r="D87" s="63"/>
      <c r="E87" s="64"/>
      <c r="F87" s="84">
        <v>1</v>
      </c>
      <c r="G87" s="48" t="s">
        <v>185</v>
      </c>
      <c r="H87" s="65">
        <v>800</v>
      </c>
      <c r="I87" s="65"/>
      <c r="J87" s="65">
        <f>F87*H87*0</f>
        <v>0</v>
      </c>
      <c r="K87" s="65"/>
      <c r="L87" s="133"/>
      <c r="M87" s="11"/>
      <c r="N87" s="65" t="s">
        <v>184</v>
      </c>
    </row>
    <row r="88" spans="1:14" ht="24.95" customHeight="1" x14ac:dyDescent="0.2">
      <c r="A88" s="14">
        <v>19</v>
      </c>
      <c r="B88" s="9">
        <v>1222</v>
      </c>
      <c r="C88" s="37" t="s">
        <v>37</v>
      </c>
      <c r="D88" s="36">
        <v>715</v>
      </c>
      <c r="E88" s="37" t="s">
        <v>39</v>
      </c>
      <c r="F88" s="85">
        <f>1.5*0+3.24+0.06-2</f>
        <v>1.3000000000000003</v>
      </c>
      <c r="G88" s="74" t="s">
        <v>147</v>
      </c>
      <c r="H88" s="39">
        <v>1800</v>
      </c>
      <c r="I88" s="73">
        <f t="shared" ref="I88:I125" si="4">F88*H88</f>
        <v>2340.0000000000005</v>
      </c>
      <c r="J88" s="73"/>
      <c r="K88" s="73"/>
      <c r="L88" s="136" t="s">
        <v>153</v>
      </c>
      <c r="M88" s="11"/>
      <c r="N88" s="106" t="s">
        <v>160</v>
      </c>
    </row>
    <row r="89" spans="1:14" ht="24.95" customHeight="1" x14ac:dyDescent="0.2">
      <c r="A89" s="16"/>
      <c r="B89" s="123"/>
      <c r="C89" s="64"/>
      <c r="D89" s="63"/>
      <c r="E89" s="64"/>
      <c r="F89" s="84">
        <v>2</v>
      </c>
      <c r="G89" s="120" t="s">
        <v>147</v>
      </c>
      <c r="H89" s="65">
        <v>1550</v>
      </c>
      <c r="I89" s="130">
        <f t="shared" si="4"/>
        <v>3100</v>
      </c>
      <c r="J89" s="130"/>
      <c r="K89" s="130"/>
      <c r="L89" s="137" t="s">
        <v>154</v>
      </c>
      <c r="M89" s="11"/>
      <c r="N89" s="108"/>
    </row>
    <row r="90" spans="1:14" ht="24.95" customHeight="1" x14ac:dyDescent="0.2">
      <c r="A90" s="16"/>
      <c r="B90" s="123"/>
      <c r="C90" s="64"/>
      <c r="D90" s="63"/>
      <c r="E90" s="64"/>
      <c r="F90" s="84">
        <v>1</v>
      </c>
      <c r="G90" s="48" t="s">
        <v>147</v>
      </c>
      <c r="H90" s="65">
        <v>1000</v>
      </c>
      <c r="I90" s="130">
        <f>F90*H90</f>
        <v>1000</v>
      </c>
      <c r="J90" s="130"/>
      <c r="K90" s="130"/>
      <c r="L90" s="137" t="s">
        <v>155</v>
      </c>
      <c r="M90" s="11"/>
      <c r="N90" s="108" t="s">
        <v>165</v>
      </c>
    </row>
    <row r="91" spans="1:14" ht="24.95" customHeight="1" x14ac:dyDescent="0.2">
      <c r="A91" s="16"/>
      <c r="B91" s="123"/>
      <c r="C91" s="64"/>
      <c r="D91" s="63"/>
      <c r="E91" s="64"/>
      <c r="F91" s="84">
        <v>1</v>
      </c>
      <c r="G91" s="48" t="s">
        <v>185</v>
      </c>
      <c r="H91" s="65">
        <v>350</v>
      </c>
      <c r="I91" s="65">
        <f>F91*H91</f>
        <v>350</v>
      </c>
      <c r="J91" s="65"/>
      <c r="K91" s="65"/>
      <c r="L91" s="133"/>
      <c r="N91" s="108" t="s">
        <v>183</v>
      </c>
    </row>
    <row r="92" spans="1:14" ht="24.95" customHeight="1" x14ac:dyDescent="0.2">
      <c r="A92" s="16"/>
      <c r="B92" s="123"/>
      <c r="C92" s="64"/>
      <c r="D92" s="63"/>
      <c r="E92" s="64"/>
      <c r="F92" s="84">
        <v>1</v>
      </c>
      <c r="G92" s="48" t="s">
        <v>185</v>
      </c>
      <c r="H92" s="65">
        <v>800</v>
      </c>
      <c r="I92" s="65">
        <f>F92*H92</f>
        <v>800</v>
      </c>
      <c r="J92" s="35"/>
      <c r="K92" s="35"/>
      <c r="L92" s="135"/>
      <c r="N92" s="108" t="s">
        <v>184</v>
      </c>
    </row>
    <row r="93" spans="1:14" ht="24.95" customHeight="1" x14ac:dyDescent="0.2">
      <c r="A93" s="14">
        <v>20</v>
      </c>
      <c r="B93" s="9">
        <v>463</v>
      </c>
      <c r="C93" s="37" t="s">
        <v>40</v>
      </c>
      <c r="D93" s="36">
        <v>1826</v>
      </c>
      <c r="E93" s="37" t="s">
        <v>41</v>
      </c>
      <c r="F93" s="85">
        <f>5*0+6.765+0.035-2</f>
        <v>4.8</v>
      </c>
      <c r="G93" s="74" t="s">
        <v>147</v>
      </c>
      <c r="H93" s="39">
        <v>1800</v>
      </c>
      <c r="I93" s="73">
        <f t="shared" si="4"/>
        <v>8640</v>
      </c>
      <c r="J93" s="73"/>
      <c r="K93" s="73"/>
      <c r="L93" s="136" t="s">
        <v>153</v>
      </c>
      <c r="M93" s="11"/>
      <c r="N93" s="106" t="s">
        <v>160</v>
      </c>
    </row>
    <row r="94" spans="1:14" ht="24.95" customHeight="1" x14ac:dyDescent="0.2">
      <c r="A94" s="16"/>
      <c r="B94" s="123"/>
      <c r="C94" s="64"/>
      <c r="D94" s="63"/>
      <c r="E94" s="64"/>
      <c r="F94" s="84">
        <v>2</v>
      </c>
      <c r="G94" s="120" t="s">
        <v>147</v>
      </c>
      <c r="H94" s="65">
        <v>1550</v>
      </c>
      <c r="I94" s="130">
        <f t="shared" si="4"/>
        <v>3100</v>
      </c>
      <c r="J94" s="130"/>
      <c r="K94" s="130"/>
      <c r="L94" s="137" t="s">
        <v>154</v>
      </c>
      <c r="M94" s="11"/>
      <c r="N94" s="108"/>
    </row>
    <row r="95" spans="1:14" ht="24.95" customHeight="1" x14ac:dyDescent="0.2">
      <c r="A95" s="16"/>
      <c r="B95" s="123"/>
      <c r="C95" s="64"/>
      <c r="D95" s="63"/>
      <c r="E95" s="64"/>
      <c r="F95" s="84">
        <v>1</v>
      </c>
      <c r="G95" s="48" t="s">
        <v>147</v>
      </c>
      <c r="H95" s="65">
        <v>1000</v>
      </c>
      <c r="I95" s="130">
        <f t="shared" si="4"/>
        <v>1000</v>
      </c>
      <c r="J95" s="130"/>
      <c r="K95" s="130"/>
      <c r="L95" s="137" t="s">
        <v>155</v>
      </c>
      <c r="M95" s="11"/>
      <c r="N95" s="108" t="s">
        <v>165</v>
      </c>
    </row>
    <row r="96" spans="1:14" ht="24.95" customHeight="1" x14ac:dyDescent="0.2">
      <c r="A96" s="16"/>
      <c r="B96" s="123"/>
      <c r="C96" s="64"/>
      <c r="D96" s="63"/>
      <c r="E96" s="64"/>
      <c r="F96" s="84">
        <v>1</v>
      </c>
      <c r="G96" s="48" t="s">
        <v>185</v>
      </c>
      <c r="H96" s="65">
        <v>350</v>
      </c>
      <c r="I96" s="65">
        <f>F96*H96</f>
        <v>350</v>
      </c>
      <c r="J96" s="65"/>
      <c r="K96" s="65"/>
      <c r="L96" s="133"/>
      <c r="N96" s="108" t="s">
        <v>183</v>
      </c>
    </row>
    <row r="97" spans="1:14" ht="24.95" customHeight="1" x14ac:dyDescent="0.2">
      <c r="A97" s="16"/>
      <c r="B97" s="123"/>
      <c r="C97" s="64"/>
      <c r="D97" s="63"/>
      <c r="E97" s="64"/>
      <c r="F97" s="84">
        <v>1</v>
      </c>
      <c r="G97" s="48" t="s">
        <v>185</v>
      </c>
      <c r="H97" s="65">
        <v>800</v>
      </c>
      <c r="I97" s="65">
        <f>F97*H97</f>
        <v>800</v>
      </c>
      <c r="J97" s="35"/>
      <c r="K97" s="35"/>
      <c r="L97" s="135"/>
      <c r="N97" s="108" t="s">
        <v>184</v>
      </c>
    </row>
    <row r="98" spans="1:14" ht="24.95" customHeight="1" x14ac:dyDescent="0.2">
      <c r="A98" s="14">
        <v>21</v>
      </c>
      <c r="B98" s="9">
        <v>1220</v>
      </c>
      <c r="C98" s="37" t="s">
        <v>42</v>
      </c>
      <c r="D98" s="36">
        <v>620</v>
      </c>
      <c r="E98" s="37" t="s">
        <v>43</v>
      </c>
      <c r="F98" s="85">
        <f>5*0+7.77+0.03-2</f>
        <v>5.8</v>
      </c>
      <c r="G98" s="74" t="s">
        <v>147</v>
      </c>
      <c r="H98" s="39">
        <v>1800</v>
      </c>
      <c r="I98" s="73">
        <f t="shared" si="4"/>
        <v>10440</v>
      </c>
      <c r="J98" s="73"/>
      <c r="K98" s="73"/>
      <c r="L98" s="136" t="s">
        <v>153</v>
      </c>
      <c r="M98" s="11"/>
      <c r="N98" s="106" t="s">
        <v>160</v>
      </c>
    </row>
    <row r="99" spans="1:14" ht="24.95" customHeight="1" x14ac:dyDescent="0.2">
      <c r="A99" s="16"/>
      <c r="B99" s="123"/>
      <c r="C99" s="64"/>
      <c r="D99" s="63"/>
      <c r="E99" s="64"/>
      <c r="F99" s="84">
        <v>2</v>
      </c>
      <c r="G99" s="120" t="s">
        <v>147</v>
      </c>
      <c r="H99" s="65">
        <v>1550</v>
      </c>
      <c r="I99" s="130">
        <f t="shared" si="4"/>
        <v>3100</v>
      </c>
      <c r="J99" s="130"/>
      <c r="K99" s="130"/>
      <c r="L99" s="137" t="s">
        <v>154</v>
      </c>
      <c r="M99" s="11"/>
      <c r="N99" s="108"/>
    </row>
    <row r="100" spans="1:14" ht="24.95" customHeight="1" x14ac:dyDescent="0.2">
      <c r="A100" s="16"/>
      <c r="B100" s="123"/>
      <c r="C100" s="64"/>
      <c r="D100" s="63"/>
      <c r="E100" s="64"/>
      <c r="F100" s="84">
        <v>1</v>
      </c>
      <c r="G100" s="48" t="s">
        <v>147</v>
      </c>
      <c r="H100" s="65">
        <v>1000</v>
      </c>
      <c r="I100" s="130">
        <f t="shared" si="4"/>
        <v>1000</v>
      </c>
      <c r="J100" s="130"/>
      <c r="K100" s="130"/>
      <c r="L100" s="137" t="s">
        <v>155</v>
      </c>
      <c r="M100" s="11"/>
      <c r="N100" s="108" t="s">
        <v>165</v>
      </c>
    </row>
    <row r="101" spans="1:14" ht="24.95" customHeight="1" x14ac:dyDescent="0.2">
      <c r="A101" s="16"/>
      <c r="B101" s="123"/>
      <c r="C101" s="64"/>
      <c r="D101" s="63"/>
      <c r="E101" s="64"/>
      <c r="F101" s="84">
        <v>1</v>
      </c>
      <c r="G101" s="48" t="s">
        <v>185</v>
      </c>
      <c r="H101" s="65">
        <v>350</v>
      </c>
      <c r="I101" s="65">
        <f>F101*H101</f>
        <v>350</v>
      </c>
      <c r="J101" s="65"/>
      <c r="K101" s="65"/>
      <c r="L101" s="133"/>
      <c r="N101" s="108" t="s">
        <v>183</v>
      </c>
    </row>
    <row r="102" spans="1:14" ht="24.95" customHeight="1" x14ac:dyDescent="0.2">
      <c r="A102" s="16"/>
      <c r="B102" s="123"/>
      <c r="C102" s="64"/>
      <c r="D102" s="63"/>
      <c r="E102" s="64"/>
      <c r="F102" s="84">
        <v>1</v>
      </c>
      <c r="G102" s="48" t="s">
        <v>185</v>
      </c>
      <c r="H102" s="65">
        <v>800</v>
      </c>
      <c r="I102" s="65">
        <f>F102*H102</f>
        <v>800</v>
      </c>
      <c r="J102" s="35"/>
      <c r="K102" s="35"/>
      <c r="L102" s="135"/>
      <c r="N102" s="108" t="s">
        <v>184</v>
      </c>
    </row>
    <row r="103" spans="1:14" ht="24.95" customHeight="1" x14ac:dyDescent="0.2">
      <c r="A103" s="14">
        <v>22</v>
      </c>
      <c r="B103" s="5">
        <v>1124</v>
      </c>
      <c r="C103" s="36" t="s">
        <v>44</v>
      </c>
      <c r="D103" s="36">
        <v>2212</v>
      </c>
      <c r="E103" s="37" t="s">
        <v>45</v>
      </c>
      <c r="F103" s="85">
        <f>1.5*0+3.285+0.015-2</f>
        <v>1.3000000000000003</v>
      </c>
      <c r="G103" s="38" t="s">
        <v>147</v>
      </c>
      <c r="H103" s="39">
        <v>1800</v>
      </c>
      <c r="I103" s="39">
        <f t="shared" si="4"/>
        <v>2340.0000000000005</v>
      </c>
      <c r="J103" s="39"/>
      <c r="K103" s="39"/>
      <c r="L103" s="134" t="s">
        <v>153</v>
      </c>
      <c r="N103" s="106" t="s">
        <v>160</v>
      </c>
    </row>
    <row r="104" spans="1:14" ht="24.95" customHeight="1" x14ac:dyDescent="0.2">
      <c r="A104" s="16"/>
      <c r="B104" s="10"/>
      <c r="C104" s="63"/>
      <c r="D104" s="63"/>
      <c r="E104" s="64"/>
      <c r="F104" s="84">
        <v>2</v>
      </c>
      <c r="G104" s="48" t="s">
        <v>147</v>
      </c>
      <c r="H104" s="65">
        <v>1550</v>
      </c>
      <c r="I104" s="65">
        <f t="shared" si="4"/>
        <v>3100</v>
      </c>
      <c r="J104" s="65"/>
      <c r="K104" s="65"/>
      <c r="L104" s="133" t="s">
        <v>154</v>
      </c>
      <c r="N104" s="108"/>
    </row>
    <row r="105" spans="1:14" ht="24.95" customHeight="1" x14ac:dyDescent="0.2">
      <c r="A105" s="16"/>
      <c r="B105" s="123"/>
      <c r="C105" s="64"/>
      <c r="D105" s="63"/>
      <c r="E105" s="64"/>
      <c r="F105" s="84">
        <v>1</v>
      </c>
      <c r="G105" s="48" t="s">
        <v>147</v>
      </c>
      <c r="H105" s="65">
        <v>1000</v>
      </c>
      <c r="I105" s="130">
        <f>F105*H105</f>
        <v>1000</v>
      </c>
      <c r="J105" s="130"/>
      <c r="K105" s="130"/>
      <c r="L105" s="137" t="s">
        <v>155</v>
      </c>
      <c r="M105" s="11"/>
      <c r="N105" s="108" t="s">
        <v>165</v>
      </c>
    </row>
    <row r="106" spans="1:14" ht="24.95" customHeight="1" x14ac:dyDescent="0.2">
      <c r="A106" s="16"/>
      <c r="B106" s="123"/>
      <c r="C106" s="64"/>
      <c r="D106" s="63"/>
      <c r="E106" s="64"/>
      <c r="F106" s="84">
        <v>1</v>
      </c>
      <c r="G106" s="48" t="s">
        <v>185</v>
      </c>
      <c r="H106" s="65">
        <v>350</v>
      </c>
      <c r="I106" s="65">
        <f>F106*H106</f>
        <v>350</v>
      </c>
      <c r="J106" s="65"/>
      <c r="K106" s="65"/>
      <c r="L106" s="133"/>
      <c r="N106" s="108" t="s">
        <v>183</v>
      </c>
    </row>
    <row r="107" spans="1:14" ht="24.95" customHeight="1" x14ac:dyDescent="0.2">
      <c r="A107" s="16"/>
      <c r="B107" s="123"/>
      <c r="C107" s="64"/>
      <c r="D107" s="63"/>
      <c r="E107" s="64"/>
      <c r="F107" s="84">
        <v>1</v>
      </c>
      <c r="G107" s="48" t="s">
        <v>185</v>
      </c>
      <c r="H107" s="65">
        <v>800</v>
      </c>
      <c r="I107" s="65">
        <f>F107*H107</f>
        <v>800</v>
      </c>
      <c r="J107" s="35"/>
      <c r="K107" s="35"/>
      <c r="L107" s="135"/>
      <c r="N107" s="108" t="s">
        <v>184</v>
      </c>
    </row>
    <row r="108" spans="1:14" ht="24.95" customHeight="1" x14ac:dyDescent="0.2">
      <c r="A108" s="14">
        <v>23</v>
      </c>
      <c r="B108" s="5">
        <v>1298</v>
      </c>
      <c r="C108" s="36" t="s">
        <v>46</v>
      </c>
      <c r="D108" s="36">
        <v>723</v>
      </c>
      <c r="E108" s="37" t="s">
        <v>47</v>
      </c>
      <c r="F108" s="85">
        <f>1*0+3.2-2</f>
        <v>1.2000000000000002</v>
      </c>
      <c r="G108" s="38" t="s">
        <v>147</v>
      </c>
      <c r="H108" s="39">
        <v>1800</v>
      </c>
      <c r="I108" s="39">
        <f t="shared" si="4"/>
        <v>2160.0000000000005</v>
      </c>
      <c r="J108" s="39"/>
      <c r="K108" s="39"/>
      <c r="L108" s="134" t="s">
        <v>153</v>
      </c>
      <c r="N108" s="106" t="s">
        <v>160</v>
      </c>
    </row>
    <row r="109" spans="1:14" ht="24.95" customHeight="1" x14ac:dyDescent="0.2">
      <c r="A109" s="16"/>
      <c r="B109" s="10"/>
      <c r="C109" s="63"/>
      <c r="D109" s="63"/>
      <c r="E109" s="64"/>
      <c r="F109" s="84">
        <v>2</v>
      </c>
      <c r="G109" s="48" t="s">
        <v>147</v>
      </c>
      <c r="H109" s="65">
        <v>1550</v>
      </c>
      <c r="I109" s="65">
        <f t="shared" si="4"/>
        <v>3100</v>
      </c>
      <c r="J109" s="65"/>
      <c r="K109" s="65"/>
      <c r="L109" s="133" t="s">
        <v>154</v>
      </c>
      <c r="N109" s="108"/>
    </row>
    <row r="110" spans="1:14" ht="24.95" customHeight="1" x14ac:dyDescent="0.2">
      <c r="A110" s="16"/>
      <c r="B110" s="123"/>
      <c r="C110" s="64"/>
      <c r="D110" s="63"/>
      <c r="E110" s="64"/>
      <c r="F110" s="84">
        <v>1</v>
      </c>
      <c r="G110" s="48" t="s">
        <v>147</v>
      </c>
      <c r="H110" s="65">
        <v>1000</v>
      </c>
      <c r="I110" s="130">
        <f t="shared" si="4"/>
        <v>1000</v>
      </c>
      <c r="J110" s="130"/>
      <c r="K110" s="130"/>
      <c r="L110" s="137" t="s">
        <v>155</v>
      </c>
      <c r="M110" s="11"/>
      <c r="N110" s="108" t="s">
        <v>165</v>
      </c>
    </row>
    <row r="111" spans="1:14" ht="24.95" customHeight="1" x14ac:dyDescent="0.2">
      <c r="A111" s="16"/>
      <c r="B111" s="123"/>
      <c r="C111" s="64"/>
      <c r="D111" s="63"/>
      <c r="E111" s="64"/>
      <c r="F111" s="84">
        <v>1</v>
      </c>
      <c r="G111" s="48" t="s">
        <v>185</v>
      </c>
      <c r="H111" s="65">
        <v>350</v>
      </c>
      <c r="I111" s="65">
        <f>F111*H111</f>
        <v>350</v>
      </c>
      <c r="J111" s="65"/>
      <c r="K111" s="65"/>
      <c r="L111" s="133"/>
      <c r="N111" s="108" t="s">
        <v>183</v>
      </c>
    </row>
    <row r="112" spans="1:14" ht="24.95" customHeight="1" x14ac:dyDescent="0.2">
      <c r="A112" s="16"/>
      <c r="B112" s="123"/>
      <c r="C112" s="64"/>
      <c r="D112" s="63"/>
      <c r="E112" s="64"/>
      <c r="F112" s="84">
        <v>1</v>
      </c>
      <c r="G112" s="48" t="s">
        <v>185</v>
      </c>
      <c r="H112" s="65">
        <v>800</v>
      </c>
      <c r="I112" s="65">
        <f>F112*H112</f>
        <v>800</v>
      </c>
      <c r="J112" s="35"/>
      <c r="K112" s="35"/>
      <c r="L112" s="135"/>
      <c r="N112" s="108" t="s">
        <v>184</v>
      </c>
    </row>
    <row r="113" spans="1:14" ht="24.95" customHeight="1" x14ac:dyDescent="0.2">
      <c r="A113" s="14">
        <v>24</v>
      </c>
      <c r="B113" s="5">
        <v>1239</v>
      </c>
      <c r="C113" s="36" t="s">
        <v>48</v>
      </c>
      <c r="D113" s="36">
        <v>774</v>
      </c>
      <c r="E113" s="37" t="s">
        <v>112</v>
      </c>
      <c r="F113" s="85">
        <f>5*0+6.885+0.015-2</f>
        <v>4.8999999999999995</v>
      </c>
      <c r="G113" s="38" t="s">
        <v>147</v>
      </c>
      <c r="H113" s="39">
        <v>1800</v>
      </c>
      <c r="I113" s="39">
        <f t="shared" si="4"/>
        <v>8819.9999999999982</v>
      </c>
      <c r="J113" s="39"/>
      <c r="K113" s="39"/>
      <c r="L113" s="134" t="s">
        <v>153</v>
      </c>
      <c r="N113" s="106" t="s">
        <v>160</v>
      </c>
    </row>
    <row r="114" spans="1:14" ht="24.95" customHeight="1" x14ac:dyDescent="0.2">
      <c r="A114" s="16"/>
      <c r="B114" s="10"/>
      <c r="C114" s="63"/>
      <c r="D114" s="63"/>
      <c r="E114" s="64"/>
      <c r="F114" s="84">
        <v>2</v>
      </c>
      <c r="G114" s="48" t="s">
        <v>147</v>
      </c>
      <c r="H114" s="65">
        <v>1550</v>
      </c>
      <c r="I114" s="65">
        <f t="shared" si="4"/>
        <v>3100</v>
      </c>
      <c r="J114" s="65"/>
      <c r="K114" s="65"/>
      <c r="L114" s="133" t="s">
        <v>154</v>
      </c>
      <c r="N114" s="108"/>
    </row>
    <row r="115" spans="1:14" ht="24.95" customHeight="1" x14ac:dyDescent="0.2">
      <c r="A115" s="16"/>
      <c r="B115" s="123"/>
      <c r="C115" s="64"/>
      <c r="D115" s="63"/>
      <c r="E115" s="64"/>
      <c r="F115" s="84">
        <v>1</v>
      </c>
      <c r="G115" s="48" t="s">
        <v>147</v>
      </c>
      <c r="H115" s="65">
        <v>1000</v>
      </c>
      <c r="I115" s="130">
        <f>F115*H115</f>
        <v>1000</v>
      </c>
      <c r="J115" s="130"/>
      <c r="K115" s="130"/>
      <c r="L115" s="137" t="s">
        <v>155</v>
      </c>
      <c r="M115" s="11"/>
      <c r="N115" s="108" t="s">
        <v>165</v>
      </c>
    </row>
    <row r="116" spans="1:14" ht="24.95" customHeight="1" x14ac:dyDescent="0.2">
      <c r="A116" s="16"/>
      <c r="B116" s="123"/>
      <c r="C116" s="64"/>
      <c r="D116" s="63"/>
      <c r="E116" s="64"/>
      <c r="F116" s="84">
        <v>1</v>
      </c>
      <c r="G116" s="48" t="s">
        <v>185</v>
      </c>
      <c r="H116" s="65">
        <v>350</v>
      </c>
      <c r="I116" s="65">
        <f>F116*H116</f>
        <v>350</v>
      </c>
      <c r="J116" s="65"/>
      <c r="K116" s="65"/>
      <c r="L116" s="133"/>
      <c r="N116" s="108" t="s">
        <v>183</v>
      </c>
    </row>
    <row r="117" spans="1:14" ht="24.95" customHeight="1" x14ac:dyDescent="0.2">
      <c r="A117" s="16"/>
      <c r="B117" s="123"/>
      <c r="C117" s="64"/>
      <c r="D117" s="63"/>
      <c r="E117" s="64"/>
      <c r="F117" s="84">
        <v>1</v>
      </c>
      <c r="G117" s="48" t="s">
        <v>185</v>
      </c>
      <c r="H117" s="65">
        <v>800</v>
      </c>
      <c r="I117" s="65">
        <f>F117*H117</f>
        <v>800</v>
      </c>
      <c r="J117" s="35"/>
      <c r="K117" s="35"/>
      <c r="L117" s="135"/>
      <c r="N117" s="108" t="s">
        <v>184</v>
      </c>
    </row>
    <row r="118" spans="1:14" ht="24.95" customHeight="1" x14ac:dyDescent="0.2">
      <c r="A118" s="14">
        <v>25</v>
      </c>
      <c r="B118" s="5">
        <v>1183</v>
      </c>
      <c r="C118" s="36" t="s">
        <v>49</v>
      </c>
      <c r="D118" s="36">
        <v>309</v>
      </c>
      <c r="E118" s="37" t="s">
        <v>50</v>
      </c>
      <c r="F118" s="85">
        <f>1.5*0+3.5-2</f>
        <v>1.5</v>
      </c>
      <c r="G118" s="38" t="s">
        <v>147</v>
      </c>
      <c r="H118" s="39">
        <v>1800</v>
      </c>
      <c r="I118" s="39">
        <f t="shared" si="4"/>
        <v>2700</v>
      </c>
      <c r="J118" s="39"/>
      <c r="K118" s="39"/>
      <c r="L118" s="134" t="s">
        <v>153</v>
      </c>
      <c r="N118" s="106" t="s">
        <v>160</v>
      </c>
    </row>
    <row r="119" spans="1:14" ht="24.95" customHeight="1" x14ac:dyDescent="0.2">
      <c r="A119" s="16"/>
      <c r="B119" s="10"/>
      <c r="C119" s="63"/>
      <c r="D119" s="63"/>
      <c r="E119" s="64"/>
      <c r="F119" s="84">
        <v>2</v>
      </c>
      <c r="G119" s="48" t="s">
        <v>147</v>
      </c>
      <c r="H119" s="65">
        <v>1550</v>
      </c>
      <c r="I119" s="65">
        <f t="shared" si="4"/>
        <v>3100</v>
      </c>
      <c r="J119" s="65"/>
      <c r="K119" s="65"/>
      <c r="L119" s="133" t="s">
        <v>154</v>
      </c>
      <c r="N119" s="108"/>
    </row>
    <row r="120" spans="1:14" ht="24.95" customHeight="1" x14ac:dyDescent="0.2">
      <c r="A120" s="16"/>
      <c r="B120" s="123"/>
      <c r="C120" s="64"/>
      <c r="D120" s="63"/>
      <c r="E120" s="64"/>
      <c r="F120" s="84">
        <v>1</v>
      </c>
      <c r="G120" s="48" t="s">
        <v>147</v>
      </c>
      <c r="H120" s="65">
        <v>1000</v>
      </c>
      <c r="I120" s="130">
        <f>F120*H120</f>
        <v>1000</v>
      </c>
      <c r="J120" s="130"/>
      <c r="K120" s="130"/>
      <c r="L120" s="137" t="s">
        <v>164</v>
      </c>
      <c r="M120" s="11"/>
      <c r="N120" s="108" t="s">
        <v>165</v>
      </c>
    </row>
    <row r="121" spans="1:14" ht="24.95" customHeight="1" x14ac:dyDescent="0.2">
      <c r="A121" s="16"/>
      <c r="B121" s="123"/>
      <c r="C121" s="64"/>
      <c r="D121" s="63"/>
      <c r="E121" s="64"/>
      <c r="F121" s="84">
        <v>1</v>
      </c>
      <c r="G121" s="48" t="s">
        <v>185</v>
      </c>
      <c r="H121" s="65">
        <v>350</v>
      </c>
      <c r="I121" s="65">
        <f>F121*H121</f>
        <v>350</v>
      </c>
      <c r="J121" s="65"/>
      <c r="K121" s="65"/>
      <c r="L121" s="133"/>
      <c r="N121" s="108" t="s">
        <v>183</v>
      </c>
    </row>
    <row r="122" spans="1:14" ht="24.95" customHeight="1" x14ac:dyDescent="0.2">
      <c r="A122" s="16"/>
      <c r="B122" s="123"/>
      <c r="C122" s="64"/>
      <c r="D122" s="63"/>
      <c r="E122" s="64"/>
      <c r="F122" s="84">
        <v>1</v>
      </c>
      <c r="G122" s="48" t="s">
        <v>185</v>
      </c>
      <c r="H122" s="65">
        <v>800</v>
      </c>
      <c r="I122" s="65">
        <f>F122*H122</f>
        <v>800</v>
      </c>
      <c r="J122" s="35"/>
      <c r="K122" s="35"/>
      <c r="L122" s="135"/>
      <c r="N122" s="108" t="s">
        <v>184</v>
      </c>
    </row>
    <row r="123" spans="1:14" ht="24.95" customHeight="1" x14ac:dyDescent="0.2">
      <c r="A123" s="14">
        <v>26</v>
      </c>
      <c r="B123" s="21">
        <v>1534</v>
      </c>
      <c r="C123" s="36" t="s">
        <v>52</v>
      </c>
      <c r="D123" s="36">
        <v>3266</v>
      </c>
      <c r="E123" s="37" t="s">
        <v>51</v>
      </c>
      <c r="F123" s="85">
        <v>1.2</v>
      </c>
      <c r="G123" s="38" t="s">
        <v>147</v>
      </c>
      <c r="H123" s="39">
        <v>1800</v>
      </c>
      <c r="I123" s="39">
        <f t="shared" si="4"/>
        <v>2160</v>
      </c>
      <c r="J123" s="39"/>
      <c r="K123" s="39"/>
      <c r="L123" s="134" t="s">
        <v>153</v>
      </c>
      <c r="N123" s="106" t="s">
        <v>180</v>
      </c>
    </row>
    <row r="124" spans="1:14" ht="24.95" customHeight="1" x14ac:dyDescent="0.2">
      <c r="A124" s="16"/>
      <c r="B124" s="75"/>
      <c r="C124" s="63" t="s">
        <v>187</v>
      </c>
      <c r="D124" s="63">
        <v>3266</v>
      </c>
      <c r="E124" s="64" t="s">
        <v>51</v>
      </c>
      <c r="F124" s="84">
        <v>1.8</v>
      </c>
      <c r="G124" s="48" t="s">
        <v>147</v>
      </c>
      <c r="H124" s="65">
        <v>1550</v>
      </c>
      <c r="I124" s="65">
        <f t="shared" si="4"/>
        <v>2790</v>
      </c>
      <c r="J124" s="65"/>
      <c r="K124" s="65"/>
      <c r="L124" s="133" t="s">
        <v>154</v>
      </c>
      <c r="N124" s="108"/>
    </row>
    <row r="125" spans="1:14" ht="24.95" customHeight="1" x14ac:dyDescent="0.2">
      <c r="A125" s="16"/>
      <c r="B125" s="75"/>
      <c r="C125" s="63"/>
      <c r="D125" s="63"/>
      <c r="E125" s="64"/>
      <c r="F125" s="84">
        <v>1</v>
      </c>
      <c r="G125" s="120" t="s">
        <v>147</v>
      </c>
      <c r="H125" s="65">
        <v>1000</v>
      </c>
      <c r="I125" s="65">
        <f t="shared" si="4"/>
        <v>1000</v>
      </c>
      <c r="J125" s="65"/>
      <c r="K125" s="65"/>
      <c r="L125" s="133" t="s">
        <v>155</v>
      </c>
      <c r="N125" s="108" t="s">
        <v>165</v>
      </c>
    </row>
    <row r="126" spans="1:14" ht="24.95" customHeight="1" x14ac:dyDescent="0.2">
      <c r="A126" s="16"/>
      <c r="B126" s="75"/>
      <c r="C126" s="63"/>
      <c r="D126" s="63"/>
      <c r="E126" s="64"/>
      <c r="F126" s="84">
        <v>1</v>
      </c>
      <c r="G126" s="48" t="s">
        <v>185</v>
      </c>
      <c r="H126" s="65">
        <v>350</v>
      </c>
      <c r="I126" s="65">
        <f>F126*H126</f>
        <v>350</v>
      </c>
      <c r="J126" s="65"/>
      <c r="K126" s="65"/>
      <c r="L126" s="133"/>
      <c r="N126" s="108" t="s">
        <v>183</v>
      </c>
    </row>
    <row r="127" spans="1:14" ht="24.95" customHeight="1" thickBot="1" x14ac:dyDescent="0.25">
      <c r="A127" s="23"/>
      <c r="B127" s="24"/>
      <c r="C127" s="41"/>
      <c r="D127" s="41"/>
      <c r="E127" s="42"/>
      <c r="F127" s="87">
        <v>1</v>
      </c>
      <c r="G127" s="43" t="s">
        <v>185</v>
      </c>
      <c r="H127" s="44">
        <v>800</v>
      </c>
      <c r="I127" s="44">
        <f>F127*H127</f>
        <v>800</v>
      </c>
      <c r="J127" s="44"/>
      <c r="K127" s="44"/>
      <c r="L127" s="138"/>
      <c r="N127" s="108" t="s">
        <v>184</v>
      </c>
    </row>
    <row r="128" spans="1:14" ht="24.95" customHeight="1" thickBot="1" x14ac:dyDescent="0.25">
      <c r="A128" s="19">
        <v>21</v>
      </c>
      <c r="B128" s="46"/>
      <c r="C128" s="45"/>
      <c r="D128" s="45"/>
      <c r="E128" s="47"/>
      <c r="F128" s="101" t="s">
        <v>186</v>
      </c>
      <c r="G128" s="102"/>
      <c r="H128" s="103"/>
      <c r="I128" s="110">
        <f>SUM(I6:I127)</f>
        <v>208225</v>
      </c>
      <c r="J128" s="110">
        <f>SUM(J6:J127)</f>
        <v>22300</v>
      </c>
      <c r="K128" s="110">
        <f>I128+J128</f>
        <v>230525</v>
      </c>
      <c r="N128" s="127"/>
    </row>
    <row r="129" spans="1:15" ht="24.95" customHeight="1" thickBot="1" x14ac:dyDescent="0.25">
      <c r="A129" s="18">
        <v>2</v>
      </c>
      <c r="B129" s="46"/>
      <c r="C129" s="45"/>
      <c r="D129" s="45"/>
      <c r="E129" s="47"/>
      <c r="F129" s="124" t="s">
        <v>198</v>
      </c>
      <c r="G129" s="125"/>
      <c r="H129" s="126"/>
      <c r="I129" s="72">
        <f>I128/21</f>
        <v>9915.4761904761908</v>
      </c>
      <c r="J129" s="70">
        <f>J128/2</f>
        <v>11150</v>
      </c>
      <c r="K129" s="70">
        <f>K128/(21+2+3*0)</f>
        <v>10022.826086956522</v>
      </c>
      <c r="N129" s="49"/>
    </row>
    <row r="130" spans="1:15" ht="24.95" customHeight="1" thickBot="1" x14ac:dyDescent="0.25">
      <c r="A130" s="242">
        <v>3</v>
      </c>
      <c r="B130" s="46"/>
      <c r="C130" s="45"/>
      <c r="D130" s="45"/>
      <c r="E130" s="47"/>
      <c r="F130" s="162">
        <f>F6+F7+F10+F11+F14+F15+F26+F27+F34+F35+F38+F39+F40+F43+F44+F45+F48+F49+F50+F53+F54+F55+F58+F59+F60+F68+F69+F70+F73+F74+F75+F78+F79+F80+F88+F89+F90+F93+F94+F95+F98+F99+F100+F103+F104+F105+F108+F109+F110+F113+F114+F115+F118+F119+F120+F123+F124+F125</f>
        <v>118.5</v>
      </c>
      <c r="G130" s="125" t="s">
        <v>147</v>
      </c>
      <c r="H130" s="126"/>
      <c r="I130" s="72">
        <f>I128/F130</f>
        <v>1757.1729957805908</v>
      </c>
      <c r="J130" s="70"/>
      <c r="K130" s="70"/>
      <c r="N130" s="49"/>
    </row>
    <row r="131" spans="1:15" ht="24.95" customHeight="1" thickBot="1" x14ac:dyDescent="0.25">
      <c r="A131" s="45"/>
      <c r="B131" s="46"/>
      <c r="C131" s="45"/>
      <c r="D131" s="45"/>
      <c r="E131" s="47"/>
      <c r="F131" s="162">
        <f>F18+F19+F22+F23</f>
        <v>12</v>
      </c>
      <c r="G131" s="125" t="s">
        <v>147</v>
      </c>
      <c r="H131" s="126"/>
      <c r="I131" s="72"/>
      <c r="J131" s="70">
        <f>J128/F131</f>
        <v>1858.3333333333333</v>
      </c>
      <c r="K131" s="70"/>
      <c r="N131" s="49"/>
    </row>
    <row r="132" spans="1:15" ht="24.95" customHeight="1" thickBot="1" x14ac:dyDescent="0.25">
      <c r="A132" s="45"/>
      <c r="B132" s="46"/>
      <c r="C132" s="45"/>
      <c r="D132" s="45"/>
      <c r="E132" s="47"/>
      <c r="F132" s="162">
        <f>F6+F7+F10+F11+F14+F15+F18+F19+F22+F23+F26+F27+F34+F35+F38+F39+F40+F43+F44+F45+F48+F49+F50+F53+F54+F55+F58+F59+F60+F68+F69+F70+F73+F74+F75+F78+F79+F80+F88+F89+F90+F93+F94+F95+F98+F99+F100+F103+F104+F105+F108+F109+F110+F113+F114+F115+F118+F119+F120+F123+F124+F125</f>
        <v>130.50000000000003</v>
      </c>
      <c r="G132" s="125" t="s">
        <v>147</v>
      </c>
      <c r="H132" s="126"/>
      <c r="I132" s="72"/>
      <c r="J132" s="70"/>
      <c r="K132" s="70">
        <f>K128/F132</f>
        <v>1766.4750957854403</v>
      </c>
      <c r="N132" s="49"/>
    </row>
    <row r="133" spans="1:15" ht="24.95" customHeight="1" x14ac:dyDescent="0.2">
      <c r="A133" s="45"/>
      <c r="B133" s="46"/>
      <c r="C133" s="45"/>
      <c r="D133" s="45"/>
      <c r="E133" s="47"/>
      <c r="F133" s="88"/>
      <c r="G133" s="48"/>
      <c r="H133" s="49"/>
      <c r="I133" s="49"/>
      <c r="N133" s="49"/>
    </row>
    <row r="134" spans="1:15" s="2" customFormat="1" ht="24.95" customHeight="1" x14ac:dyDescent="0.25">
      <c r="A134" s="50" t="s">
        <v>105</v>
      </c>
      <c r="B134" s="51"/>
      <c r="C134" s="51"/>
      <c r="D134" s="51"/>
      <c r="E134" s="50"/>
      <c r="F134" s="89"/>
      <c r="G134" s="52"/>
      <c r="H134" s="53"/>
      <c r="I134" s="53"/>
      <c r="J134" s="71"/>
      <c r="K134" s="71"/>
      <c r="L134" s="131"/>
      <c r="N134" s="53"/>
    </row>
    <row r="135" spans="1:15" ht="24.95" customHeight="1" thickBot="1" x14ac:dyDescent="0.3">
      <c r="A135" s="50" t="s">
        <v>0</v>
      </c>
      <c r="B135" s="54"/>
      <c r="C135" s="54"/>
      <c r="D135" s="54"/>
      <c r="E135" s="50"/>
      <c r="F135" s="90"/>
      <c r="G135" s="55"/>
      <c r="H135" s="56"/>
      <c r="I135" s="56"/>
      <c r="N135" s="56"/>
    </row>
    <row r="136" spans="1:15" s="6" customFormat="1" ht="20.100000000000001" customHeight="1" x14ac:dyDescent="0.2">
      <c r="A136" s="213" t="s">
        <v>6</v>
      </c>
      <c r="B136" s="215" t="s">
        <v>4</v>
      </c>
      <c r="C136" s="215" t="s">
        <v>3</v>
      </c>
      <c r="D136" s="215" t="s">
        <v>2</v>
      </c>
      <c r="E136" s="217" t="s">
        <v>135</v>
      </c>
      <c r="F136" s="219" t="s">
        <v>148</v>
      </c>
      <c r="G136" s="227"/>
      <c r="H136" s="231" t="s">
        <v>151</v>
      </c>
      <c r="I136" s="229" t="s">
        <v>171</v>
      </c>
      <c r="J136" s="229" t="s">
        <v>172</v>
      </c>
      <c r="K136" s="229" t="s">
        <v>150</v>
      </c>
      <c r="L136" s="229" t="s">
        <v>170</v>
      </c>
      <c r="N136" s="231" t="s">
        <v>1</v>
      </c>
    </row>
    <row r="137" spans="1:15" s="7" customFormat="1" ht="20.100000000000001" customHeight="1" thickBot="1" x14ac:dyDescent="0.25">
      <c r="A137" s="214"/>
      <c r="B137" s="216"/>
      <c r="C137" s="216"/>
      <c r="D137" s="216"/>
      <c r="E137" s="218"/>
      <c r="F137" s="220"/>
      <c r="G137" s="228"/>
      <c r="H137" s="232"/>
      <c r="I137" s="230"/>
      <c r="J137" s="230"/>
      <c r="K137" s="230"/>
      <c r="L137" s="230"/>
      <c r="N137" s="232"/>
    </row>
    <row r="138" spans="1:15" s="7" customFormat="1" ht="24.95" customHeight="1" thickBot="1" x14ac:dyDescent="0.25">
      <c r="A138" s="211" t="s">
        <v>53</v>
      </c>
      <c r="B138" s="212"/>
      <c r="C138" s="212"/>
      <c r="D138" s="212"/>
      <c r="E138" s="212"/>
      <c r="F138" s="91"/>
      <c r="G138" s="57"/>
      <c r="H138" s="58"/>
      <c r="I138" s="59"/>
      <c r="J138" s="59"/>
      <c r="K138" s="59"/>
      <c r="L138" s="59"/>
      <c r="M138" s="32"/>
      <c r="N138" s="129"/>
      <c r="O138" s="32"/>
    </row>
    <row r="139" spans="1:15" ht="24.95" customHeight="1" x14ac:dyDescent="0.2">
      <c r="A139" s="114">
        <v>28</v>
      </c>
      <c r="B139" s="115">
        <v>1134</v>
      </c>
      <c r="C139" s="66" t="s">
        <v>54</v>
      </c>
      <c r="D139" s="66">
        <v>1502</v>
      </c>
      <c r="E139" s="67" t="s">
        <v>182</v>
      </c>
      <c r="F139" s="83">
        <v>1</v>
      </c>
      <c r="G139" s="68" t="s">
        <v>147</v>
      </c>
      <c r="H139" s="69">
        <v>1300</v>
      </c>
      <c r="I139" s="69">
        <f t="shared" ref="I139:I146" si="5">F139*H139</f>
        <v>1300</v>
      </c>
      <c r="J139" s="69"/>
      <c r="K139" s="69"/>
      <c r="L139" s="132" t="s">
        <v>156</v>
      </c>
      <c r="N139" s="129"/>
    </row>
    <row r="140" spans="1:15" ht="24.95" customHeight="1" x14ac:dyDescent="0.2">
      <c r="A140" s="16"/>
      <c r="B140" s="10"/>
      <c r="C140" s="63"/>
      <c r="D140" s="63"/>
      <c r="E140" s="64"/>
      <c r="F140" s="84">
        <v>2</v>
      </c>
      <c r="G140" s="48" t="s">
        <v>147</v>
      </c>
      <c r="H140" s="65">
        <v>1550</v>
      </c>
      <c r="I140" s="65">
        <f t="shared" si="5"/>
        <v>3100</v>
      </c>
      <c r="J140" s="65"/>
      <c r="K140" s="65"/>
      <c r="L140" s="133" t="s">
        <v>154</v>
      </c>
      <c r="N140" s="65"/>
    </row>
    <row r="141" spans="1:15" ht="24.95" customHeight="1" x14ac:dyDescent="0.2">
      <c r="A141" s="16"/>
      <c r="B141" s="123"/>
      <c r="C141" s="64"/>
      <c r="D141" s="63"/>
      <c r="E141" s="64"/>
      <c r="F141" s="84">
        <v>1</v>
      </c>
      <c r="G141" s="48" t="s">
        <v>147</v>
      </c>
      <c r="H141" s="65">
        <v>1000</v>
      </c>
      <c r="I141" s="130">
        <f t="shared" si="5"/>
        <v>1000</v>
      </c>
      <c r="J141" s="130"/>
      <c r="K141" s="130"/>
      <c r="L141" s="137" t="s">
        <v>155</v>
      </c>
      <c r="M141" s="11"/>
      <c r="N141" s="65" t="s">
        <v>165</v>
      </c>
    </row>
    <row r="142" spans="1:15" ht="24.95" customHeight="1" x14ac:dyDescent="0.2">
      <c r="A142" s="16"/>
      <c r="B142" s="123"/>
      <c r="C142" s="64"/>
      <c r="D142" s="63"/>
      <c r="E142" s="64"/>
      <c r="F142" s="84">
        <v>1</v>
      </c>
      <c r="G142" s="48" t="s">
        <v>185</v>
      </c>
      <c r="H142" s="65">
        <v>350</v>
      </c>
      <c r="I142" s="65">
        <f>F142*H142</f>
        <v>350</v>
      </c>
      <c r="J142" s="65"/>
      <c r="K142" s="65"/>
      <c r="L142" s="133"/>
      <c r="M142" s="11"/>
      <c r="N142" s="65" t="s">
        <v>183</v>
      </c>
    </row>
    <row r="143" spans="1:15" ht="24.95" customHeight="1" x14ac:dyDescent="0.2">
      <c r="A143" s="16"/>
      <c r="B143" s="123"/>
      <c r="C143" s="64"/>
      <c r="D143" s="63"/>
      <c r="E143" s="34"/>
      <c r="F143" s="84">
        <v>1</v>
      </c>
      <c r="G143" s="48" t="s">
        <v>185</v>
      </c>
      <c r="H143" s="65">
        <v>800</v>
      </c>
      <c r="I143" s="65">
        <f>F143*H143</f>
        <v>800</v>
      </c>
      <c r="J143" s="65"/>
      <c r="K143" s="65"/>
      <c r="L143" s="133"/>
      <c r="M143" s="11"/>
      <c r="N143" s="65" t="s">
        <v>184</v>
      </c>
    </row>
    <row r="144" spans="1:15" ht="24.95" customHeight="1" x14ac:dyDescent="0.2">
      <c r="A144" s="14">
        <v>29</v>
      </c>
      <c r="B144" s="22">
        <v>1086</v>
      </c>
      <c r="C144" s="37" t="s">
        <v>55</v>
      </c>
      <c r="D144" s="36">
        <v>404</v>
      </c>
      <c r="E144" s="37" t="s">
        <v>66</v>
      </c>
      <c r="F144" s="85">
        <v>0.8</v>
      </c>
      <c r="G144" s="38" t="s">
        <v>147</v>
      </c>
      <c r="H144" s="39">
        <v>1300</v>
      </c>
      <c r="I144" s="39">
        <f t="shared" si="5"/>
        <v>1040</v>
      </c>
      <c r="J144" s="39"/>
      <c r="K144" s="39"/>
      <c r="L144" s="134" t="s">
        <v>156</v>
      </c>
      <c r="N144" s="106" t="s">
        <v>180</v>
      </c>
    </row>
    <row r="145" spans="1:14" ht="24.95" customHeight="1" x14ac:dyDescent="0.2">
      <c r="A145" s="16"/>
      <c r="B145" s="75"/>
      <c r="C145" s="64"/>
      <c r="D145" s="63"/>
      <c r="E145" s="64"/>
      <c r="F145" s="84">
        <v>1.9</v>
      </c>
      <c r="G145" s="48" t="s">
        <v>147</v>
      </c>
      <c r="H145" s="65">
        <v>1550</v>
      </c>
      <c r="I145" s="65">
        <f t="shared" si="5"/>
        <v>2945</v>
      </c>
      <c r="J145" s="65"/>
      <c r="K145" s="65"/>
      <c r="L145" s="133" t="s">
        <v>154</v>
      </c>
      <c r="N145" s="108"/>
    </row>
    <row r="146" spans="1:14" ht="24.95" customHeight="1" x14ac:dyDescent="0.2">
      <c r="A146" s="16"/>
      <c r="B146" s="75"/>
      <c r="C146" s="64"/>
      <c r="D146" s="63"/>
      <c r="E146" s="64"/>
      <c r="F146" s="84">
        <v>1</v>
      </c>
      <c r="G146" s="48" t="s">
        <v>147</v>
      </c>
      <c r="H146" s="65">
        <v>1000</v>
      </c>
      <c r="I146" s="65">
        <f t="shared" si="5"/>
        <v>1000</v>
      </c>
      <c r="J146" s="65"/>
      <c r="K146" s="65"/>
      <c r="L146" s="133" t="s">
        <v>155</v>
      </c>
      <c r="M146" s="11"/>
      <c r="N146" s="108" t="s">
        <v>165</v>
      </c>
    </row>
    <row r="147" spans="1:14" ht="24.95" customHeight="1" x14ac:dyDescent="0.2">
      <c r="A147" s="16"/>
      <c r="B147" s="75"/>
      <c r="C147" s="64"/>
      <c r="D147" s="63"/>
      <c r="E147" s="64"/>
      <c r="F147" s="84">
        <v>1</v>
      </c>
      <c r="G147" s="48" t="s">
        <v>185</v>
      </c>
      <c r="H147" s="65">
        <v>350</v>
      </c>
      <c r="I147" s="65">
        <f>F147*H147</f>
        <v>350</v>
      </c>
      <c r="J147" s="65"/>
      <c r="K147" s="65"/>
      <c r="L147" s="133"/>
      <c r="N147" s="108" t="s">
        <v>183</v>
      </c>
    </row>
    <row r="148" spans="1:14" ht="24.95" customHeight="1" x14ac:dyDescent="0.2">
      <c r="A148" s="16"/>
      <c r="B148" s="75"/>
      <c r="C148" s="64"/>
      <c r="D148" s="63"/>
      <c r="E148" s="64"/>
      <c r="F148" s="84">
        <v>1</v>
      </c>
      <c r="G148" s="48" t="s">
        <v>185</v>
      </c>
      <c r="H148" s="65">
        <v>800</v>
      </c>
      <c r="I148" s="65">
        <f>F148*H148</f>
        <v>800</v>
      </c>
      <c r="J148" s="35"/>
      <c r="K148" s="35"/>
      <c r="L148" s="135"/>
      <c r="N148" s="108" t="s">
        <v>184</v>
      </c>
    </row>
    <row r="149" spans="1:14" ht="24.95" customHeight="1" x14ac:dyDescent="0.2">
      <c r="A149" s="116">
        <v>30</v>
      </c>
      <c r="B149" s="5">
        <v>1085</v>
      </c>
      <c r="C149" s="36" t="s">
        <v>56</v>
      </c>
      <c r="D149" s="36">
        <v>1734</v>
      </c>
      <c r="E149" s="37" t="s">
        <v>67</v>
      </c>
      <c r="F149" s="85">
        <v>4</v>
      </c>
      <c r="G149" s="38" t="s">
        <v>147</v>
      </c>
      <c r="H149" s="39">
        <v>1300</v>
      </c>
      <c r="I149" s="39"/>
      <c r="J149" s="39">
        <f t="shared" ref="J149:J157" si="6">F149*H149*0</f>
        <v>0</v>
      </c>
      <c r="K149" s="39"/>
      <c r="L149" s="134" t="s">
        <v>156</v>
      </c>
      <c r="N149" s="39"/>
    </row>
    <row r="150" spans="1:14" ht="24.95" customHeight="1" x14ac:dyDescent="0.2">
      <c r="A150" s="117"/>
      <c r="B150" s="10"/>
      <c r="C150" s="63"/>
      <c r="D150" s="63"/>
      <c r="E150" s="64"/>
      <c r="F150" s="84">
        <v>2</v>
      </c>
      <c r="G150" s="48" t="s">
        <v>147</v>
      </c>
      <c r="H150" s="65">
        <v>1550</v>
      </c>
      <c r="I150" s="65"/>
      <c r="J150" s="65">
        <f t="shared" si="6"/>
        <v>0</v>
      </c>
      <c r="K150" s="65"/>
      <c r="L150" s="133" t="s">
        <v>154</v>
      </c>
      <c r="N150" s="65"/>
    </row>
    <row r="151" spans="1:14" ht="24.95" customHeight="1" x14ac:dyDescent="0.2">
      <c r="A151" s="117"/>
      <c r="B151" s="10"/>
      <c r="C151" s="63"/>
      <c r="D151" s="63"/>
      <c r="E151" s="64"/>
      <c r="F151" s="84">
        <v>1</v>
      </c>
      <c r="G151" s="48" t="s">
        <v>147</v>
      </c>
      <c r="H151" s="65">
        <v>1000</v>
      </c>
      <c r="I151" s="65"/>
      <c r="J151" s="65">
        <f t="shared" si="6"/>
        <v>0</v>
      </c>
      <c r="K151" s="65"/>
      <c r="L151" s="133" t="s">
        <v>155</v>
      </c>
      <c r="M151" s="11"/>
      <c r="N151" s="65" t="s">
        <v>165</v>
      </c>
    </row>
    <row r="152" spans="1:14" ht="24.95" customHeight="1" x14ac:dyDescent="0.2">
      <c r="A152" s="117"/>
      <c r="B152" s="10"/>
      <c r="C152" s="63"/>
      <c r="D152" s="63"/>
      <c r="E152" s="64"/>
      <c r="F152" s="84">
        <v>1</v>
      </c>
      <c r="G152" s="48" t="s">
        <v>185</v>
      </c>
      <c r="H152" s="65">
        <v>350</v>
      </c>
      <c r="I152" s="65"/>
      <c r="J152" s="65">
        <f t="shared" si="6"/>
        <v>0</v>
      </c>
      <c r="K152" s="65"/>
      <c r="L152" s="133"/>
      <c r="M152" s="11"/>
      <c r="N152" s="65" t="s">
        <v>183</v>
      </c>
    </row>
    <row r="153" spans="1:14" ht="24.95" customHeight="1" x14ac:dyDescent="0.2">
      <c r="A153" s="117"/>
      <c r="B153" s="10"/>
      <c r="C153" s="63"/>
      <c r="D153" s="63"/>
      <c r="E153" s="64"/>
      <c r="F153" s="84">
        <v>1</v>
      </c>
      <c r="G153" s="48" t="s">
        <v>185</v>
      </c>
      <c r="H153" s="65">
        <v>800</v>
      </c>
      <c r="I153" s="65"/>
      <c r="J153" s="65">
        <f t="shared" si="6"/>
        <v>0</v>
      </c>
      <c r="K153" s="65"/>
      <c r="L153" s="133"/>
      <c r="M153" s="11"/>
      <c r="N153" s="65" t="s">
        <v>184</v>
      </c>
    </row>
    <row r="154" spans="1:14" ht="24.95" customHeight="1" x14ac:dyDescent="0.2">
      <c r="A154" s="109">
        <v>31</v>
      </c>
      <c r="B154" s="199" t="s">
        <v>28</v>
      </c>
      <c r="C154" s="36" t="s">
        <v>57</v>
      </c>
      <c r="D154" s="36">
        <v>1808</v>
      </c>
      <c r="E154" s="37" t="s">
        <v>149</v>
      </c>
      <c r="F154" s="85">
        <v>2.5</v>
      </c>
      <c r="G154" s="38" t="s">
        <v>147</v>
      </c>
      <c r="H154" s="39">
        <v>1300</v>
      </c>
      <c r="I154" s="39"/>
      <c r="J154" s="39">
        <f t="shared" si="6"/>
        <v>0</v>
      </c>
      <c r="K154" s="39"/>
      <c r="L154" s="134" t="s">
        <v>156</v>
      </c>
      <c r="N154" s="196" t="s">
        <v>195</v>
      </c>
    </row>
    <row r="155" spans="1:14" ht="24.95" customHeight="1" x14ac:dyDescent="0.2">
      <c r="A155" s="119"/>
      <c r="B155" s="200"/>
      <c r="C155" s="63"/>
      <c r="D155" s="63"/>
      <c r="E155" s="64"/>
      <c r="F155" s="84">
        <v>2</v>
      </c>
      <c r="G155" s="48" t="s">
        <v>147</v>
      </c>
      <c r="H155" s="65">
        <v>1000</v>
      </c>
      <c r="I155" s="65"/>
      <c r="J155" s="65">
        <f t="shared" si="6"/>
        <v>0</v>
      </c>
      <c r="K155" s="65"/>
      <c r="L155" s="133" t="s">
        <v>155</v>
      </c>
      <c r="N155" s="65"/>
    </row>
    <row r="156" spans="1:14" ht="24.95" customHeight="1" x14ac:dyDescent="0.2">
      <c r="A156" s="119"/>
      <c r="B156" s="200"/>
      <c r="C156" s="63"/>
      <c r="D156" s="63"/>
      <c r="E156" s="64"/>
      <c r="F156" s="84">
        <v>1</v>
      </c>
      <c r="G156" s="48" t="s">
        <v>147</v>
      </c>
      <c r="H156" s="65">
        <v>1000</v>
      </c>
      <c r="I156" s="65"/>
      <c r="J156" s="65">
        <f t="shared" si="6"/>
        <v>0</v>
      </c>
      <c r="K156" s="65"/>
      <c r="L156" s="133" t="s">
        <v>155</v>
      </c>
      <c r="M156" s="11"/>
      <c r="N156" s="65" t="s">
        <v>165</v>
      </c>
    </row>
    <row r="157" spans="1:14" ht="24.95" customHeight="1" x14ac:dyDescent="0.2">
      <c r="A157" s="119"/>
      <c r="B157" s="200"/>
      <c r="C157" s="63"/>
      <c r="D157" s="63"/>
      <c r="E157" s="64"/>
      <c r="F157" s="84">
        <v>1</v>
      </c>
      <c r="G157" s="48" t="s">
        <v>185</v>
      </c>
      <c r="H157" s="65">
        <v>350</v>
      </c>
      <c r="I157" s="65"/>
      <c r="J157" s="65">
        <f t="shared" si="6"/>
        <v>0</v>
      </c>
      <c r="K157" s="65"/>
      <c r="L157" s="133"/>
      <c r="M157" s="11"/>
      <c r="N157" s="65" t="s">
        <v>183</v>
      </c>
    </row>
    <row r="158" spans="1:14" ht="24.95" customHeight="1" x14ac:dyDescent="0.2">
      <c r="A158" s="119"/>
      <c r="B158" s="200"/>
      <c r="C158" s="63"/>
      <c r="D158" s="63"/>
      <c r="E158" s="64"/>
      <c r="F158" s="84">
        <v>1</v>
      </c>
      <c r="G158" s="48" t="s">
        <v>185</v>
      </c>
      <c r="H158" s="65">
        <v>800</v>
      </c>
      <c r="I158" s="65"/>
      <c r="J158" s="65">
        <f>F158*I158</f>
        <v>0</v>
      </c>
      <c r="K158" s="65"/>
      <c r="L158" s="133"/>
      <c r="M158" s="11"/>
      <c r="N158" s="65" t="s">
        <v>184</v>
      </c>
    </row>
    <row r="159" spans="1:14" ht="24.95" customHeight="1" x14ac:dyDescent="0.2">
      <c r="A159" s="109">
        <v>32</v>
      </c>
      <c r="B159" s="199">
        <v>1090</v>
      </c>
      <c r="C159" s="36" t="s">
        <v>58</v>
      </c>
      <c r="D159" s="36">
        <v>1809</v>
      </c>
      <c r="E159" s="37" t="s">
        <v>149</v>
      </c>
      <c r="F159" s="85">
        <v>2.5</v>
      </c>
      <c r="G159" s="38" t="s">
        <v>147</v>
      </c>
      <c r="H159" s="39">
        <v>1300</v>
      </c>
      <c r="I159" s="39"/>
      <c r="J159" s="39">
        <f>F159*H159*0</f>
        <v>0</v>
      </c>
      <c r="K159" s="39"/>
      <c r="L159" s="134" t="s">
        <v>156</v>
      </c>
      <c r="N159" s="196" t="s">
        <v>196</v>
      </c>
    </row>
    <row r="160" spans="1:14" ht="24.95" customHeight="1" x14ac:dyDescent="0.2">
      <c r="A160" s="119"/>
      <c r="B160" s="200"/>
      <c r="C160" s="63"/>
      <c r="D160" s="63"/>
      <c r="E160" s="64"/>
      <c r="F160" s="84">
        <v>2</v>
      </c>
      <c r="G160" s="48" t="s">
        <v>147</v>
      </c>
      <c r="H160" s="65">
        <v>1000</v>
      </c>
      <c r="I160" s="65"/>
      <c r="J160" s="65">
        <f>F160*H160*0</f>
        <v>0</v>
      </c>
      <c r="K160" s="65"/>
      <c r="L160" s="133" t="s">
        <v>155</v>
      </c>
      <c r="N160" s="65"/>
    </row>
    <row r="161" spans="1:15" ht="24.95" customHeight="1" x14ac:dyDescent="0.2">
      <c r="A161" s="119"/>
      <c r="B161" s="200"/>
      <c r="C161" s="63"/>
      <c r="D161" s="63"/>
      <c r="E161" s="64"/>
      <c r="F161" s="84">
        <v>1</v>
      </c>
      <c r="G161" s="48" t="s">
        <v>147</v>
      </c>
      <c r="H161" s="65">
        <v>1000</v>
      </c>
      <c r="I161" s="65"/>
      <c r="J161" s="65">
        <f>F161*H161*0</f>
        <v>0</v>
      </c>
      <c r="K161" s="65"/>
      <c r="L161" s="133" t="s">
        <v>155</v>
      </c>
      <c r="M161" s="11"/>
      <c r="N161" s="65" t="s">
        <v>165</v>
      </c>
    </row>
    <row r="162" spans="1:15" ht="24.95" customHeight="1" x14ac:dyDescent="0.2">
      <c r="A162" s="119"/>
      <c r="B162" s="200"/>
      <c r="C162" s="63"/>
      <c r="D162" s="63"/>
      <c r="E162" s="64"/>
      <c r="F162" s="84">
        <v>1</v>
      </c>
      <c r="G162" s="48" t="s">
        <v>185</v>
      </c>
      <c r="H162" s="65">
        <v>350</v>
      </c>
      <c r="I162" s="65"/>
      <c r="J162" s="65">
        <f>F162*H162*0</f>
        <v>0</v>
      </c>
      <c r="K162" s="65"/>
      <c r="L162" s="133"/>
      <c r="M162" s="11"/>
      <c r="N162" s="65" t="s">
        <v>183</v>
      </c>
    </row>
    <row r="163" spans="1:15" ht="24.95" customHeight="1" x14ac:dyDescent="0.2">
      <c r="A163" s="119"/>
      <c r="B163" s="200"/>
      <c r="C163" s="63"/>
      <c r="D163" s="63"/>
      <c r="E163" s="64"/>
      <c r="F163" s="84">
        <v>1</v>
      </c>
      <c r="G163" s="48" t="s">
        <v>185</v>
      </c>
      <c r="H163" s="65">
        <v>800</v>
      </c>
      <c r="I163" s="65"/>
      <c r="J163" s="65">
        <f>F163*I163</f>
        <v>0</v>
      </c>
      <c r="K163" s="65"/>
      <c r="L163" s="133"/>
      <c r="M163" s="11"/>
      <c r="N163" s="65" t="s">
        <v>184</v>
      </c>
    </row>
    <row r="164" spans="1:15" ht="24.95" customHeight="1" x14ac:dyDescent="0.2">
      <c r="A164" s="109">
        <v>33</v>
      </c>
      <c r="B164" s="5">
        <v>1252</v>
      </c>
      <c r="C164" s="36" t="s">
        <v>59</v>
      </c>
      <c r="D164" s="36">
        <v>932</v>
      </c>
      <c r="E164" s="37" t="s">
        <v>60</v>
      </c>
      <c r="F164" s="85">
        <v>4</v>
      </c>
      <c r="G164" s="74" t="s">
        <v>147</v>
      </c>
      <c r="H164" s="39">
        <v>1300</v>
      </c>
      <c r="I164" s="39"/>
      <c r="J164" s="39">
        <f>F164*H164*0</f>
        <v>0</v>
      </c>
      <c r="K164" s="39"/>
      <c r="L164" s="134" t="s">
        <v>156</v>
      </c>
      <c r="M164" s="11"/>
      <c r="N164" s="196" t="s">
        <v>194</v>
      </c>
    </row>
    <row r="165" spans="1:15" ht="24.95" customHeight="1" x14ac:dyDescent="0.2">
      <c r="A165" s="119"/>
      <c r="B165" s="10"/>
      <c r="C165" s="63"/>
      <c r="D165" s="63"/>
      <c r="E165" s="64"/>
      <c r="F165" s="84">
        <v>2</v>
      </c>
      <c r="G165" s="120" t="s">
        <v>147</v>
      </c>
      <c r="H165" s="65">
        <v>1550</v>
      </c>
      <c r="I165" s="65"/>
      <c r="J165" s="65">
        <f>F165*H165*0</f>
        <v>0</v>
      </c>
      <c r="K165" s="65"/>
      <c r="L165" s="133" t="s">
        <v>154</v>
      </c>
      <c r="M165" s="11"/>
      <c r="N165" s="65"/>
    </row>
    <row r="166" spans="1:15" ht="24.95" customHeight="1" x14ac:dyDescent="0.2">
      <c r="A166" s="149"/>
      <c r="B166" s="10"/>
      <c r="C166" s="63"/>
      <c r="D166" s="63"/>
      <c r="E166" s="64"/>
      <c r="F166" s="84">
        <v>1</v>
      </c>
      <c r="G166" s="48" t="s">
        <v>147</v>
      </c>
      <c r="H166" s="65">
        <v>1000</v>
      </c>
      <c r="I166" s="130"/>
      <c r="J166" s="65">
        <f>F166*H166*0</f>
        <v>0</v>
      </c>
      <c r="K166" s="65"/>
      <c r="L166" s="133" t="s">
        <v>155</v>
      </c>
      <c r="M166" s="11"/>
      <c r="N166" s="65" t="s">
        <v>165</v>
      </c>
    </row>
    <row r="167" spans="1:15" ht="24.95" customHeight="1" x14ac:dyDescent="0.2">
      <c r="A167" s="149"/>
      <c r="B167" s="10"/>
      <c r="C167" s="63"/>
      <c r="D167" s="63"/>
      <c r="E167" s="64"/>
      <c r="F167" s="84">
        <v>1</v>
      </c>
      <c r="G167" s="48" t="s">
        <v>185</v>
      </c>
      <c r="H167" s="65">
        <v>350</v>
      </c>
      <c r="I167" s="65"/>
      <c r="J167" s="65">
        <f>F167*H167*0</f>
        <v>0</v>
      </c>
      <c r="K167" s="65"/>
      <c r="L167" s="133"/>
      <c r="M167" s="11"/>
      <c r="N167" s="65" t="s">
        <v>183</v>
      </c>
    </row>
    <row r="168" spans="1:15" ht="24.95" customHeight="1" thickBot="1" x14ac:dyDescent="0.25">
      <c r="A168" s="148"/>
      <c r="B168" s="76"/>
      <c r="C168" s="41"/>
      <c r="D168" s="41"/>
      <c r="E168" s="42"/>
      <c r="F168" s="87">
        <v>1</v>
      </c>
      <c r="G168" s="43" t="s">
        <v>185</v>
      </c>
      <c r="H168" s="44">
        <v>800</v>
      </c>
      <c r="I168" s="44"/>
      <c r="J168" s="44">
        <f>F168*H168*0</f>
        <v>0</v>
      </c>
      <c r="K168" s="44"/>
      <c r="L168" s="138"/>
      <c r="M168" s="11"/>
      <c r="N168" s="65" t="s">
        <v>184</v>
      </c>
    </row>
    <row r="169" spans="1:15" s="7" customFormat="1" ht="24.95" customHeight="1" thickBot="1" x14ac:dyDescent="0.25">
      <c r="A169" s="233" t="s">
        <v>61</v>
      </c>
      <c r="B169" s="234"/>
      <c r="C169" s="234"/>
      <c r="D169" s="234"/>
      <c r="E169" s="234"/>
      <c r="F169" s="91"/>
      <c r="G169" s="57"/>
      <c r="H169" s="111"/>
      <c r="I169" s="112"/>
      <c r="J169" s="112"/>
      <c r="K169" s="112"/>
      <c r="L169" s="111"/>
      <c r="M169" s="32"/>
      <c r="N169" s="99"/>
      <c r="O169" s="32"/>
    </row>
    <row r="170" spans="1:15" ht="24.95" customHeight="1" x14ac:dyDescent="0.2">
      <c r="A170" s="121">
        <v>34</v>
      </c>
      <c r="B170" s="115">
        <v>1167</v>
      </c>
      <c r="C170" s="66" t="s">
        <v>62</v>
      </c>
      <c r="D170" s="66">
        <v>446</v>
      </c>
      <c r="E170" s="67" t="s">
        <v>30</v>
      </c>
      <c r="F170" s="83">
        <v>7</v>
      </c>
      <c r="G170" s="68" t="s">
        <v>147</v>
      </c>
      <c r="H170" s="69">
        <v>1300</v>
      </c>
      <c r="I170" s="69"/>
      <c r="J170" s="69">
        <f>F170*H170</f>
        <v>9100</v>
      </c>
      <c r="K170" s="69"/>
      <c r="L170" s="132" t="s">
        <v>156</v>
      </c>
      <c r="N170" s="69"/>
    </row>
    <row r="171" spans="1:15" ht="24.95" customHeight="1" x14ac:dyDescent="0.2">
      <c r="A171" s="118"/>
      <c r="B171" s="10"/>
      <c r="C171" s="63"/>
      <c r="D171" s="63"/>
      <c r="E171" s="64"/>
      <c r="F171" s="84">
        <v>1</v>
      </c>
      <c r="G171" s="48" t="s">
        <v>147</v>
      </c>
      <c r="H171" s="65">
        <v>1000</v>
      </c>
      <c r="I171" s="65"/>
      <c r="J171" s="65">
        <f>F171*H171</f>
        <v>1000</v>
      </c>
      <c r="K171" s="65"/>
      <c r="L171" s="133" t="s">
        <v>155</v>
      </c>
      <c r="M171" s="11"/>
      <c r="N171" s="65" t="s">
        <v>165</v>
      </c>
    </row>
    <row r="172" spans="1:15" ht="24.95" customHeight="1" x14ac:dyDescent="0.2">
      <c r="A172" s="118"/>
      <c r="B172" s="10"/>
      <c r="C172" s="63"/>
      <c r="D172" s="63"/>
      <c r="E172" s="64"/>
      <c r="F172" s="84">
        <v>1</v>
      </c>
      <c r="G172" s="48" t="s">
        <v>185</v>
      </c>
      <c r="H172" s="65">
        <v>350</v>
      </c>
      <c r="I172" s="65"/>
      <c r="J172" s="65">
        <f>F172*H172</f>
        <v>350</v>
      </c>
      <c r="K172" s="65"/>
      <c r="L172" s="133"/>
      <c r="M172" s="11"/>
      <c r="N172" s="65" t="s">
        <v>183</v>
      </c>
    </row>
    <row r="173" spans="1:15" ht="24.95" customHeight="1" x14ac:dyDescent="0.2">
      <c r="A173" s="118"/>
      <c r="B173" s="10"/>
      <c r="C173" s="63"/>
      <c r="D173" s="63"/>
      <c r="E173" s="64"/>
      <c r="F173" s="84">
        <v>1</v>
      </c>
      <c r="G173" s="48" t="s">
        <v>185</v>
      </c>
      <c r="H173" s="65">
        <v>800</v>
      </c>
      <c r="I173" s="65"/>
      <c r="J173" s="65">
        <f>F173*H173</f>
        <v>800</v>
      </c>
      <c r="K173" s="65"/>
      <c r="L173" s="133"/>
      <c r="M173" s="11"/>
      <c r="N173" s="65" t="s">
        <v>184</v>
      </c>
    </row>
    <row r="174" spans="1:15" ht="24.95" customHeight="1" x14ac:dyDescent="0.2">
      <c r="A174" s="14">
        <v>35</v>
      </c>
      <c r="B174" s="5">
        <v>1430</v>
      </c>
      <c r="C174" s="36" t="s">
        <v>64</v>
      </c>
      <c r="D174" s="36">
        <v>3350</v>
      </c>
      <c r="E174" s="37" t="s">
        <v>65</v>
      </c>
      <c r="F174" s="85">
        <f>3*0+3.11+0.09</f>
        <v>3.1999999999999997</v>
      </c>
      <c r="G174" s="38" t="s">
        <v>147</v>
      </c>
      <c r="H174" s="39">
        <v>1300</v>
      </c>
      <c r="I174" s="39">
        <f>F174*H174</f>
        <v>4160</v>
      </c>
      <c r="J174" s="39"/>
      <c r="K174" s="39"/>
      <c r="L174" s="134" t="s">
        <v>156</v>
      </c>
      <c r="N174" s="106" t="s">
        <v>160</v>
      </c>
    </row>
    <row r="175" spans="1:15" ht="24.95" customHeight="1" x14ac:dyDescent="0.2">
      <c r="A175" s="16"/>
      <c r="B175" s="10"/>
      <c r="C175" s="63"/>
      <c r="D175" s="63"/>
      <c r="E175" s="64"/>
      <c r="F175" s="84">
        <v>1</v>
      </c>
      <c r="G175" s="48" t="s">
        <v>147</v>
      </c>
      <c r="H175" s="65">
        <v>1000</v>
      </c>
      <c r="I175" s="65">
        <f>F175*H175</f>
        <v>1000</v>
      </c>
      <c r="J175" s="65"/>
      <c r="K175" s="65"/>
      <c r="L175" s="133" t="s">
        <v>155</v>
      </c>
      <c r="M175" s="11"/>
      <c r="N175" s="108" t="s">
        <v>165</v>
      </c>
    </row>
    <row r="176" spans="1:15" ht="24.95" customHeight="1" x14ac:dyDescent="0.2">
      <c r="A176" s="16"/>
      <c r="B176" s="10"/>
      <c r="C176" s="63"/>
      <c r="D176" s="63"/>
      <c r="E176" s="64"/>
      <c r="F176" s="84">
        <v>1</v>
      </c>
      <c r="G176" s="48" t="s">
        <v>185</v>
      </c>
      <c r="H176" s="65">
        <v>350</v>
      </c>
      <c r="I176" s="65">
        <f>F176*H176</f>
        <v>350</v>
      </c>
      <c r="J176" s="65"/>
      <c r="K176" s="65"/>
      <c r="L176" s="133"/>
      <c r="N176" s="108" t="s">
        <v>183</v>
      </c>
    </row>
    <row r="177" spans="1:14" ht="24.95" customHeight="1" x14ac:dyDescent="0.2">
      <c r="A177" s="16"/>
      <c r="B177" s="10"/>
      <c r="C177" s="63"/>
      <c r="D177" s="63"/>
      <c r="E177" s="64"/>
      <c r="F177" s="84">
        <v>1</v>
      </c>
      <c r="G177" s="48" t="s">
        <v>185</v>
      </c>
      <c r="H177" s="65">
        <v>800</v>
      </c>
      <c r="I177" s="65">
        <f>F177*H177</f>
        <v>800</v>
      </c>
      <c r="J177" s="35"/>
      <c r="K177" s="35"/>
      <c r="L177" s="135"/>
      <c r="N177" s="108" t="s">
        <v>184</v>
      </c>
    </row>
    <row r="178" spans="1:14" ht="24.95" customHeight="1" x14ac:dyDescent="0.2">
      <c r="A178" s="14">
        <v>36</v>
      </c>
      <c r="B178" s="5">
        <v>1095</v>
      </c>
      <c r="C178" s="36" t="s">
        <v>68</v>
      </c>
      <c r="D178" s="36">
        <v>1549</v>
      </c>
      <c r="E178" s="37" t="s">
        <v>69</v>
      </c>
      <c r="F178" s="93">
        <v>7</v>
      </c>
      <c r="G178" s="113" t="s">
        <v>147</v>
      </c>
      <c r="H178" s="95">
        <v>1300</v>
      </c>
      <c r="I178" s="95">
        <f t="shared" ref="I178:I194" si="7">F178*H178</f>
        <v>9100</v>
      </c>
      <c r="J178" s="95"/>
      <c r="K178" s="95"/>
      <c r="L178" s="139" t="s">
        <v>156</v>
      </c>
      <c r="N178" s="95" t="s">
        <v>163</v>
      </c>
    </row>
    <row r="179" spans="1:14" ht="24.95" customHeight="1" x14ac:dyDescent="0.2">
      <c r="A179" s="16"/>
      <c r="B179" s="10"/>
      <c r="C179" s="63"/>
      <c r="D179" s="63"/>
      <c r="E179" s="64"/>
      <c r="F179" s="94">
        <v>1</v>
      </c>
      <c r="G179" s="150" t="s">
        <v>147</v>
      </c>
      <c r="H179" s="96">
        <v>1000</v>
      </c>
      <c r="I179" s="96">
        <f>F179*H179</f>
        <v>1000</v>
      </c>
      <c r="J179" s="96"/>
      <c r="K179" s="96"/>
      <c r="L179" s="151" t="s">
        <v>155</v>
      </c>
      <c r="M179" s="11"/>
      <c r="N179" s="96" t="s">
        <v>165</v>
      </c>
    </row>
    <row r="180" spans="1:14" ht="24.95" customHeight="1" x14ac:dyDescent="0.2">
      <c r="A180" s="16"/>
      <c r="B180" s="10"/>
      <c r="C180" s="63"/>
      <c r="D180" s="63"/>
      <c r="E180" s="64"/>
      <c r="F180" s="94">
        <v>1</v>
      </c>
      <c r="G180" s="150" t="s">
        <v>185</v>
      </c>
      <c r="H180" s="96">
        <v>350</v>
      </c>
      <c r="I180" s="96">
        <f>F180*H180</f>
        <v>350</v>
      </c>
      <c r="J180" s="96"/>
      <c r="K180" s="96"/>
      <c r="L180" s="151"/>
      <c r="M180" s="11"/>
      <c r="N180" s="96" t="s">
        <v>183</v>
      </c>
    </row>
    <row r="181" spans="1:14" ht="24.95" customHeight="1" x14ac:dyDescent="0.2">
      <c r="A181" s="16"/>
      <c r="B181" s="10"/>
      <c r="C181" s="63"/>
      <c r="D181" s="63"/>
      <c r="E181" s="64"/>
      <c r="F181" s="94">
        <v>1</v>
      </c>
      <c r="G181" s="150" t="s">
        <v>185</v>
      </c>
      <c r="H181" s="96">
        <v>800</v>
      </c>
      <c r="I181" s="96">
        <f>F181*H181</f>
        <v>800</v>
      </c>
      <c r="J181" s="96"/>
      <c r="K181" s="96"/>
      <c r="L181" s="151"/>
      <c r="N181" s="96" t="s">
        <v>184</v>
      </c>
    </row>
    <row r="182" spans="1:14" ht="24.95" customHeight="1" x14ac:dyDescent="0.2">
      <c r="A182" s="14">
        <v>37</v>
      </c>
      <c r="B182" s="5">
        <v>1275</v>
      </c>
      <c r="C182" s="36" t="s">
        <v>70</v>
      </c>
      <c r="D182" s="36">
        <v>1046</v>
      </c>
      <c r="E182" s="37" t="s">
        <v>71</v>
      </c>
      <c r="F182" s="85">
        <v>3</v>
      </c>
      <c r="G182" s="38" t="s">
        <v>147</v>
      </c>
      <c r="H182" s="39">
        <v>1300</v>
      </c>
      <c r="I182" s="39">
        <f t="shared" si="7"/>
        <v>3900</v>
      </c>
      <c r="J182" s="39"/>
      <c r="K182" s="39"/>
      <c r="L182" s="134" t="s">
        <v>156</v>
      </c>
      <c r="N182" s="39"/>
    </row>
    <row r="183" spans="1:14" ht="24.95" customHeight="1" x14ac:dyDescent="0.2">
      <c r="A183" s="16"/>
      <c r="B183" s="10"/>
      <c r="C183" s="63"/>
      <c r="D183" s="63"/>
      <c r="E183" s="64"/>
      <c r="F183" s="84">
        <v>1</v>
      </c>
      <c r="G183" s="48" t="s">
        <v>147</v>
      </c>
      <c r="H183" s="65">
        <v>1000</v>
      </c>
      <c r="I183" s="65">
        <f t="shared" si="7"/>
        <v>1000</v>
      </c>
      <c r="J183" s="65"/>
      <c r="K183" s="65"/>
      <c r="L183" s="133" t="s">
        <v>155</v>
      </c>
      <c r="M183" s="11"/>
      <c r="N183" s="65" t="s">
        <v>165</v>
      </c>
    </row>
    <row r="184" spans="1:14" ht="24.95" customHeight="1" x14ac:dyDescent="0.2">
      <c r="A184" s="16"/>
      <c r="B184" s="10"/>
      <c r="C184" s="63"/>
      <c r="D184" s="63"/>
      <c r="E184" s="64"/>
      <c r="F184" s="84">
        <v>0</v>
      </c>
      <c r="G184" s="48" t="s">
        <v>185</v>
      </c>
      <c r="H184" s="65">
        <v>350</v>
      </c>
      <c r="I184" s="65">
        <f>F184*H184</f>
        <v>0</v>
      </c>
      <c r="J184" s="65"/>
      <c r="K184" s="65"/>
      <c r="L184" s="133"/>
      <c r="M184" s="11"/>
      <c r="N184" s="65" t="s">
        <v>183</v>
      </c>
    </row>
    <row r="185" spans="1:14" ht="24.95" customHeight="1" x14ac:dyDescent="0.2">
      <c r="A185" s="16"/>
      <c r="B185" s="10"/>
      <c r="C185" s="63"/>
      <c r="D185" s="63"/>
      <c r="E185" s="64"/>
      <c r="F185" s="84">
        <v>1</v>
      </c>
      <c r="G185" s="48" t="s">
        <v>185</v>
      </c>
      <c r="H185" s="65">
        <v>800</v>
      </c>
      <c r="I185" s="65">
        <f>F185*H185</f>
        <v>800</v>
      </c>
      <c r="J185" s="65"/>
      <c r="K185" s="65"/>
      <c r="L185" s="133"/>
      <c r="M185" s="11"/>
      <c r="N185" s="65" t="s">
        <v>184</v>
      </c>
    </row>
    <row r="186" spans="1:14" ht="24.95" customHeight="1" x14ac:dyDescent="0.2">
      <c r="A186" s="14">
        <v>38</v>
      </c>
      <c r="B186" s="5">
        <v>1266</v>
      </c>
      <c r="C186" s="36" t="s">
        <v>72</v>
      </c>
      <c r="D186" s="36">
        <v>1131</v>
      </c>
      <c r="E186" s="37" t="s">
        <v>73</v>
      </c>
      <c r="F186" s="85">
        <f>7*0+6.06+0.14</f>
        <v>6.1999999999999993</v>
      </c>
      <c r="G186" s="38" t="s">
        <v>147</v>
      </c>
      <c r="H186" s="39">
        <v>1300</v>
      </c>
      <c r="I186" s="39">
        <f t="shared" si="7"/>
        <v>8059.9999999999991</v>
      </c>
      <c r="J186" s="39"/>
      <c r="K186" s="39"/>
      <c r="L186" s="134" t="s">
        <v>156</v>
      </c>
      <c r="N186" s="106" t="s">
        <v>160</v>
      </c>
    </row>
    <row r="187" spans="1:14" ht="24.95" customHeight="1" x14ac:dyDescent="0.2">
      <c r="A187" s="16"/>
      <c r="B187" s="10"/>
      <c r="C187" s="63"/>
      <c r="D187" s="63"/>
      <c r="E187" s="64"/>
      <c r="F187" s="84">
        <v>1</v>
      </c>
      <c r="G187" s="48" t="s">
        <v>147</v>
      </c>
      <c r="H187" s="65">
        <v>1000</v>
      </c>
      <c r="I187" s="65">
        <f>F187*H187</f>
        <v>1000</v>
      </c>
      <c r="J187" s="65"/>
      <c r="K187" s="65"/>
      <c r="L187" s="133" t="s">
        <v>155</v>
      </c>
      <c r="M187" s="11"/>
      <c r="N187" s="108" t="s">
        <v>165</v>
      </c>
    </row>
    <row r="188" spans="1:14" ht="24.95" customHeight="1" x14ac:dyDescent="0.2">
      <c r="A188" s="16"/>
      <c r="B188" s="10"/>
      <c r="C188" s="63"/>
      <c r="D188" s="63"/>
      <c r="E188" s="64"/>
      <c r="F188" s="84">
        <v>1</v>
      </c>
      <c r="G188" s="48" t="s">
        <v>185</v>
      </c>
      <c r="H188" s="65">
        <v>350</v>
      </c>
      <c r="I188" s="65">
        <f>F188*H188</f>
        <v>350</v>
      </c>
      <c r="J188" s="65"/>
      <c r="K188" s="65"/>
      <c r="L188" s="133"/>
      <c r="N188" s="108" t="s">
        <v>183</v>
      </c>
    </row>
    <row r="189" spans="1:14" ht="24.95" customHeight="1" x14ac:dyDescent="0.2">
      <c r="A189" s="16"/>
      <c r="B189" s="10"/>
      <c r="C189" s="63"/>
      <c r="D189" s="63"/>
      <c r="E189" s="64"/>
      <c r="F189" s="84">
        <v>1</v>
      </c>
      <c r="G189" s="48" t="s">
        <v>185</v>
      </c>
      <c r="H189" s="65">
        <v>800</v>
      </c>
      <c r="I189" s="65">
        <f>F189*H189</f>
        <v>800</v>
      </c>
      <c r="J189" s="35"/>
      <c r="K189" s="35"/>
      <c r="L189" s="135"/>
      <c r="N189" s="108" t="s">
        <v>184</v>
      </c>
    </row>
    <row r="190" spans="1:14" ht="24.95" customHeight="1" x14ac:dyDescent="0.2">
      <c r="A190" s="14">
        <v>39</v>
      </c>
      <c r="B190" s="5">
        <v>439</v>
      </c>
      <c r="C190" s="36" t="s">
        <v>74</v>
      </c>
      <c r="D190" s="36">
        <v>1827</v>
      </c>
      <c r="E190" s="37" t="s">
        <v>75</v>
      </c>
      <c r="F190" s="85">
        <f>3*0+3.57+0.03</f>
        <v>3.5999999999999996</v>
      </c>
      <c r="G190" s="38" t="s">
        <v>147</v>
      </c>
      <c r="H190" s="39">
        <v>1300</v>
      </c>
      <c r="I190" s="39">
        <f t="shared" si="7"/>
        <v>4679.9999999999991</v>
      </c>
      <c r="J190" s="39"/>
      <c r="K190" s="39"/>
      <c r="L190" s="134" t="s">
        <v>156</v>
      </c>
      <c r="N190" s="106" t="s">
        <v>160</v>
      </c>
    </row>
    <row r="191" spans="1:14" ht="24.95" customHeight="1" x14ac:dyDescent="0.2">
      <c r="A191" s="16"/>
      <c r="B191" s="10"/>
      <c r="C191" s="63"/>
      <c r="D191" s="63"/>
      <c r="E191" s="64"/>
      <c r="F191" s="84">
        <v>1</v>
      </c>
      <c r="G191" s="48" t="s">
        <v>147</v>
      </c>
      <c r="H191" s="65">
        <v>1000</v>
      </c>
      <c r="I191" s="65">
        <f>F191*H191</f>
        <v>1000</v>
      </c>
      <c r="J191" s="65"/>
      <c r="K191" s="65"/>
      <c r="L191" s="133" t="s">
        <v>155</v>
      </c>
      <c r="M191" s="11"/>
      <c r="N191" s="108" t="s">
        <v>165</v>
      </c>
    </row>
    <row r="192" spans="1:14" ht="24.95" customHeight="1" x14ac:dyDescent="0.2">
      <c r="A192" s="16"/>
      <c r="B192" s="10"/>
      <c r="C192" s="63"/>
      <c r="D192" s="63"/>
      <c r="E192" s="64"/>
      <c r="F192" s="84">
        <v>0</v>
      </c>
      <c r="G192" s="48" t="s">
        <v>185</v>
      </c>
      <c r="H192" s="65">
        <v>350</v>
      </c>
      <c r="I192" s="65">
        <f>F192*H192</f>
        <v>0</v>
      </c>
      <c r="J192" s="65"/>
      <c r="K192" s="65"/>
      <c r="L192" s="133"/>
      <c r="N192" s="108" t="s">
        <v>183</v>
      </c>
    </row>
    <row r="193" spans="1:15" ht="24.95" customHeight="1" x14ac:dyDescent="0.2">
      <c r="A193" s="16"/>
      <c r="B193" s="10"/>
      <c r="C193" s="63"/>
      <c r="D193" s="63"/>
      <c r="E193" s="64"/>
      <c r="F193" s="84">
        <v>1</v>
      </c>
      <c r="G193" s="48" t="s">
        <v>185</v>
      </c>
      <c r="H193" s="65">
        <v>800</v>
      </c>
      <c r="I193" s="65">
        <f>F193*H193</f>
        <v>800</v>
      </c>
      <c r="J193" s="35"/>
      <c r="K193" s="35"/>
      <c r="L193" s="135"/>
      <c r="N193" s="108" t="s">
        <v>184</v>
      </c>
    </row>
    <row r="194" spans="1:15" ht="24.95" customHeight="1" x14ac:dyDescent="0.2">
      <c r="A194" s="14">
        <v>40</v>
      </c>
      <c r="B194" s="5">
        <v>1155</v>
      </c>
      <c r="C194" s="36" t="s">
        <v>76</v>
      </c>
      <c r="D194" s="36">
        <v>382</v>
      </c>
      <c r="E194" s="37" t="s">
        <v>97</v>
      </c>
      <c r="F194" s="85">
        <v>7</v>
      </c>
      <c r="G194" s="38" t="s">
        <v>147</v>
      </c>
      <c r="H194" s="39">
        <v>1300</v>
      </c>
      <c r="I194" s="39">
        <f t="shared" si="7"/>
        <v>9100</v>
      </c>
      <c r="J194" s="39"/>
      <c r="K194" s="39"/>
      <c r="L194" s="134" t="s">
        <v>156</v>
      </c>
      <c r="N194" s="39"/>
    </row>
    <row r="195" spans="1:15" ht="24.95" customHeight="1" x14ac:dyDescent="0.2">
      <c r="A195" s="16"/>
      <c r="B195" s="10"/>
      <c r="C195" s="63"/>
      <c r="D195" s="63"/>
      <c r="E195" s="64"/>
      <c r="F195" s="84">
        <v>1</v>
      </c>
      <c r="G195" s="48" t="s">
        <v>147</v>
      </c>
      <c r="H195" s="65">
        <v>1000</v>
      </c>
      <c r="I195" s="65">
        <f>F195*H195</f>
        <v>1000</v>
      </c>
      <c r="J195" s="65"/>
      <c r="K195" s="65"/>
      <c r="L195" s="133" t="s">
        <v>155</v>
      </c>
      <c r="M195" s="11"/>
      <c r="N195" s="65" t="s">
        <v>165</v>
      </c>
    </row>
    <row r="196" spans="1:15" ht="24.95" customHeight="1" x14ac:dyDescent="0.2">
      <c r="A196" s="16"/>
      <c r="B196" s="10"/>
      <c r="C196" s="63"/>
      <c r="D196" s="63"/>
      <c r="E196" s="64"/>
      <c r="F196" s="84">
        <v>1</v>
      </c>
      <c r="G196" s="48" t="s">
        <v>185</v>
      </c>
      <c r="H196" s="65">
        <v>350</v>
      </c>
      <c r="I196" s="65">
        <f>F196*H196</f>
        <v>350</v>
      </c>
      <c r="J196" s="65"/>
      <c r="K196" s="65"/>
      <c r="L196" s="133"/>
      <c r="M196" s="11"/>
      <c r="N196" s="65" t="s">
        <v>183</v>
      </c>
    </row>
    <row r="197" spans="1:15" ht="24.95" customHeight="1" x14ac:dyDescent="0.2">
      <c r="A197" s="16"/>
      <c r="B197" s="10"/>
      <c r="C197" s="63"/>
      <c r="D197" s="63"/>
      <c r="E197" s="64"/>
      <c r="F197" s="84">
        <v>1</v>
      </c>
      <c r="G197" s="48" t="s">
        <v>185</v>
      </c>
      <c r="H197" s="65">
        <v>800</v>
      </c>
      <c r="I197" s="65">
        <f>F197*H197</f>
        <v>800</v>
      </c>
      <c r="J197" s="65"/>
      <c r="K197" s="65"/>
      <c r="L197" s="133"/>
      <c r="M197" s="11"/>
      <c r="N197" s="65" t="s">
        <v>184</v>
      </c>
    </row>
    <row r="198" spans="1:15" ht="24.95" customHeight="1" x14ac:dyDescent="0.2">
      <c r="A198" s="15">
        <v>41</v>
      </c>
      <c r="B198" s="5">
        <v>284</v>
      </c>
      <c r="C198" s="36" t="s">
        <v>77</v>
      </c>
      <c r="D198" s="36">
        <v>1894</v>
      </c>
      <c r="E198" s="37" t="s">
        <v>78</v>
      </c>
      <c r="F198" s="85">
        <v>7</v>
      </c>
      <c r="G198" s="38" t="s">
        <v>147</v>
      </c>
      <c r="H198" s="39">
        <v>1300</v>
      </c>
      <c r="I198" s="39"/>
      <c r="J198" s="39">
        <f t="shared" ref="J198:J201" si="8">F198*H198</f>
        <v>9100</v>
      </c>
      <c r="K198" s="39"/>
      <c r="L198" s="134" t="s">
        <v>156</v>
      </c>
      <c r="N198" s="39"/>
    </row>
    <row r="199" spans="1:15" ht="24.95" customHeight="1" x14ac:dyDescent="0.2">
      <c r="A199" s="118"/>
      <c r="B199" s="10"/>
      <c r="C199" s="63"/>
      <c r="D199" s="63"/>
      <c r="E199" s="64" t="s">
        <v>79</v>
      </c>
      <c r="F199" s="84">
        <v>1</v>
      </c>
      <c r="G199" s="48" t="s">
        <v>147</v>
      </c>
      <c r="H199" s="65">
        <v>1000</v>
      </c>
      <c r="I199" s="65"/>
      <c r="J199" s="65">
        <f t="shared" si="8"/>
        <v>1000</v>
      </c>
      <c r="K199" s="65"/>
      <c r="L199" s="133" t="s">
        <v>155</v>
      </c>
      <c r="M199" s="11"/>
      <c r="N199" s="65" t="s">
        <v>165</v>
      </c>
    </row>
    <row r="200" spans="1:15" ht="24.95" customHeight="1" x14ac:dyDescent="0.2">
      <c r="A200" s="118"/>
      <c r="B200" s="10"/>
      <c r="C200" s="63"/>
      <c r="D200" s="63"/>
      <c r="E200" s="64"/>
      <c r="F200" s="84">
        <v>1</v>
      </c>
      <c r="G200" s="48" t="s">
        <v>185</v>
      </c>
      <c r="H200" s="65">
        <v>350</v>
      </c>
      <c r="I200" s="65"/>
      <c r="J200" s="65">
        <f t="shared" si="8"/>
        <v>350</v>
      </c>
      <c r="K200" s="65"/>
      <c r="L200" s="133"/>
      <c r="M200" s="11"/>
      <c r="N200" s="65" t="s">
        <v>183</v>
      </c>
    </row>
    <row r="201" spans="1:15" ht="24.95" customHeight="1" x14ac:dyDescent="0.2">
      <c r="A201" s="118"/>
      <c r="B201" s="10"/>
      <c r="C201" s="63"/>
      <c r="D201" s="63"/>
      <c r="E201" s="64"/>
      <c r="F201" s="84">
        <v>1</v>
      </c>
      <c r="G201" s="48" t="s">
        <v>185</v>
      </c>
      <c r="H201" s="65">
        <v>800</v>
      </c>
      <c r="I201" s="65"/>
      <c r="J201" s="65">
        <f t="shared" si="8"/>
        <v>800</v>
      </c>
      <c r="K201" s="65"/>
      <c r="L201" s="133"/>
      <c r="M201" s="11"/>
      <c r="N201" s="65" t="s">
        <v>184</v>
      </c>
    </row>
    <row r="202" spans="1:15" ht="24.95" customHeight="1" x14ac:dyDescent="0.2">
      <c r="A202" s="109">
        <v>51</v>
      </c>
      <c r="B202" s="5">
        <v>1147</v>
      </c>
      <c r="C202" s="36" t="s">
        <v>80</v>
      </c>
      <c r="D202" s="36">
        <v>2080</v>
      </c>
      <c r="E202" s="37" t="s">
        <v>94</v>
      </c>
      <c r="F202" s="85">
        <v>3</v>
      </c>
      <c r="G202" s="74" t="s">
        <v>147</v>
      </c>
      <c r="H202" s="39">
        <v>1300</v>
      </c>
      <c r="I202" s="73"/>
      <c r="J202" s="73">
        <f>F202*H202*0</f>
        <v>0</v>
      </c>
      <c r="K202" s="73"/>
      <c r="L202" s="134" t="s">
        <v>156</v>
      </c>
      <c r="M202" s="11"/>
      <c r="N202" s="196" t="s">
        <v>192</v>
      </c>
    </row>
    <row r="203" spans="1:15" ht="24.95" customHeight="1" x14ac:dyDescent="0.2">
      <c r="A203" s="119"/>
      <c r="B203" s="10"/>
      <c r="C203" s="63"/>
      <c r="D203" s="63"/>
      <c r="E203" s="64"/>
      <c r="F203" s="84">
        <v>1</v>
      </c>
      <c r="G203" s="120" t="s">
        <v>147</v>
      </c>
      <c r="H203" s="65">
        <v>1000</v>
      </c>
      <c r="I203" s="130"/>
      <c r="J203" s="130">
        <f>F203*H203*0</f>
        <v>0</v>
      </c>
      <c r="K203" s="130"/>
      <c r="L203" s="133" t="s">
        <v>155</v>
      </c>
      <c r="M203" s="11"/>
      <c r="N203" s="65" t="s">
        <v>165</v>
      </c>
    </row>
    <row r="204" spans="1:15" ht="24.95" customHeight="1" x14ac:dyDescent="0.2">
      <c r="A204" s="119"/>
      <c r="B204" s="10"/>
      <c r="C204" s="63"/>
      <c r="D204" s="63"/>
      <c r="E204" s="64"/>
      <c r="F204" s="84">
        <v>0</v>
      </c>
      <c r="G204" s="48" t="s">
        <v>185</v>
      </c>
      <c r="H204" s="65">
        <v>350</v>
      </c>
      <c r="I204" s="65"/>
      <c r="J204" s="65">
        <f>F204*H204*0</f>
        <v>0</v>
      </c>
      <c r="K204" s="65"/>
      <c r="L204" s="133"/>
      <c r="M204" s="11"/>
      <c r="N204" s="65" t="s">
        <v>183</v>
      </c>
    </row>
    <row r="205" spans="1:15" ht="24.95" customHeight="1" thickBot="1" x14ac:dyDescent="0.25">
      <c r="A205" s="195"/>
      <c r="B205" s="76"/>
      <c r="C205" s="41"/>
      <c r="D205" s="41"/>
      <c r="E205" s="42"/>
      <c r="F205" s="87">
        <v>0</v>
      </c>
      <c r="G205" s="43" t="s">
        <v>185</v>
      </c>
      <c r="H205" s="44">
        <v>800</v>
      </c>
      <c r="I205" s="44"/>
      <c r="J205" s="44">
        <f>F205*H205*0</f>
        <v>0</v>
      </c>
      <c r="K205" s="44"/>
      <c r="L205" s="138"/>
      <c r="M205" s="11"/>
      <c r="N205" s="65" t="s">
        <v>184</v>
      </c>
    </row>
    <row r="206" spans="1:15" s="7" customFormat="1" ht="24.95" customHeight="1" thickBot="1" x14ac:dyDescent="0.25">
      <c r="A206" s="233" t="s">
        <v>81</v>
      </c>
      <c r="B206" s="234"/>
      <c r="C206" s="234"/>
      <c r="D206" s="234"/>
      <c r="E206" s="234"/>
      <c r="F206" s="91"/>
      <c r="G206" s="57"/>
      <c r="H206" s="111"/>
      <c r="I206" s="112"/>
      <c r="J206" s="112"/>
      <c r="K206" s="112"/>
      <c r="L206" s="111"/>
      <c r="M206" s="32"/>
      <c r="N206" s="99"/>
      <c r="O206" s="32"/>
    </row>
    <row r="207" spans="1:15" ht="24.95" customHeight="1" x14ac:dyDescent="0.2">
      <c r="A207" s="121">
        <v>42</v>
      </c>
      <c r="B207" s="115">
        <v>1497</v>
      </c>
      <c r="C207" s="66" t="s">
        <v>99</v>
      </c>
      <c r="D207" s="66">
        <v>3270</v>
      </c>
      <c r="E207" s="67" t="s">
        <v>98</v>
      </c>
      <c r="F207" s="83">
        <v>4</v>
      </c>
      <c r="G207" s="68" t="s">
        <v>147</v>
      </c>
      <c r="H207" s="69">
        <v>1300</v>
      </c>
      <c r="I207" s="69"/>
      <c r="J207" s="69">
        <f>F207*H207</f>
        <v>5200</v>
      </c>
      <c r="K207" s="69"/>
      <c r="L207" s="132" t="s">
        <v>156</v>
      </c>
      <c r="N207" s="69"/>
    </row>
    <row r="208" spans="1:15" ht="24.95" customHeight="1" x14ac:dyDescent="0.2">
      <c r="A208" s="118"/>
      <c r="B208" s="10"/>
      <c r="C208" s="63"/>
      <c r="D208" s="63"/>
      <c r="E208" s="64" t="s">
        <v>191</v>
      </c>
      <c r="F208" s="84">
        <v>2</v>
      </c>
      <c r="G208" s="48" t="s">
        <v>147</v>
      </c>
      <c r="H208" s="65">
        <v>1550</v>
      </c>
      <c r="I208" s="65"/>
      <c r="J208" s="65">
        <f>F208*H208</f>
        <v>3100</v>
      </c>
      <c r="K208" s="65"/>
      <c r="L208" s="133" t="s">
        <v>154</v>
      </c>
      <c r="N208" s="65"/>
    </row>
    <row r="209" spans="1:14" ht="24.95" customHeight="1" x14ac:dyDescent="0.2">
      <c r="A209" s="118"/>
      <c r="B209" s="10"/>
      <c r="C209" s="63"/>
      <c r="D209" s="63"/>
      <c r="E209" s="64"/>
      <c r="F209" s="84">
        <v>1</v>
      </c>
      <c r="G209" s="48" t="s">
        <v>147</v>
      </c>
      <c r="H209" s="65">
        <v>1000</v>
      </c>
      <c r="I209" s="65"/>
      <c r="J209" s="65">
        <f>F209*H209</f>
        <v>1000</v>
      </c>
      <c r="K209" s="65"/>
      <c r="L209" s="133" t="s">
        <v>164</v>
      </c>
      <c r="M209" s="11"/>
      <c r="N209" s="65" t="s">
        <v>165</v>
      </c>
    </row>
    <row r="210" spans="1:14" ht="24.95" customHeight="1" x14ac:dyDescent="0.2">
      <c r="A210" s="118"/>
      <c r="B210" s="10"/>
      <c r="C210" s="63"/>
      <c r="D210" s="63"/>
      <c r="E210" s="64"/>
      <c r="F210" s="84">
        <v>1</v>
      </c>
      <c r="G210" s="48" t="s">
        <v>185</v>
      </c>
      <c r="H210" s="65">
        <v>350</v>
      </c>
      <c r="I210" s="65"/>
      <c r="J210" s="65">
        <f>F210*H210</f>
        <v>350</v>
      </c>
      <c r="K210" s="65"/>
      <c r="L210" s="133"/>
      <c r="M210" s="11"/>
      <c r="N210" s="65" t="s">
        <v>183</v>
      </c>
    </row>
    <row r="211" spans="1:14" ht="24.95" customHeight="1" x14ac:dyDescent="0.2">
      <c r="A211" s="118"/>
      <c r="B211" s="10"/>
      <c r="C211" s="63"/>
      <c r="D211" s="63"/>
      <c r="E211" s="64"/>
      <c r="F211" s="84">
        <v>1</v>
      </c>
      <c r="G211" s="48" t="s">
        <v>185</v>
      </c>
      <c r="H211" s="65">
        <v>800</v>
      </c>
      <c r="I211" s="65"/>
      <c r="J211" s="65">
        <f>F211*H211</f>
        <v>800</v>
      </c>
      <c r="K211" s="65"/>
      <c r="L211" s="133"/>
      <c r="M211" s="11"/>
      <c r="N211" s="65" t="s">
        <v>184</v>
      </c>
    </row>
    <row r="212" spans="1:14" ht="24.95" customHeight="1" x14ac:dyDescent="0.2">
      <c r="A212" s="14">
        <v>43</v>
      </c>
      <c r="B212" s="5">
        <v>1445</v>
      </c>
      <c r="C212" s="36" t="s">
        <v>82</v>
      </c>
      <c r="D212" s="36">
        <v>3358</v>
      </c>
      <c r="E212" s="37" t="s">
        <v>144</v>
      </c>
      <c r="F212" s="85">
        <f>4*0+5.16+0.04-2</f>
        <v>3.2</v>
      </c>
      <c r="G212" s="38" t="s">
        <v>147</v>
      </c>
      <c r="H212" s="39">
        <v>1300</v>
      </c>
      <c r="I212" s="39">
        <f t="shared" ref="I212:I224" si="9">F212*H212</f>
        <v>4160</v>
      </c>
      <c r="J212" s="39"/>
      <c r="K212" s="39"/>
      <c r="L212" s="134" t="s">
        <v>156</v>
      </c>
      <c r="M212" s="11"/>
      <c r="N212" s="106" t="s">
        <v>160</v>
      </c>
    </row>
    <row r="213" spans="1:14" ht="24.95" customHeight="1" x14ac:dyDescent="0.2">
      <c r="A213" s="16"/>
      <c r="B213" s="10"/>
      <c r="C213" s="63"/>
      <c r="D213" s="63"/>
      <c r="E213" s="64"/>
      <c r="F213" s="84">
        <v>2</v>
      </c>
      <c r="G213" s="48" t="s">
        <v>147</v>
      </c>
      <c r="H213" s="65">
        <v>1550</v>
      </c>
      <c r="I213" s="65">
        <f t="shared" si="9"/>
        <v>3100</v>
      </c>
      <c r="J213" s="65"/>
      <c r="K213" s="65"/>
      <c r="L213" s="133" t="s">
        <v>154</v>
      </c>
      <c r="M213" s="11"/>
      <c r="N213" s="108"/>
    </row>
    <row r="214" spans="1:14" ht="24.95" customHeight="1" x14ac:dyDescent="0.2">
      <c r="A214" s="16"/>
      <c r="B214" s="10"/>
      <c r="C214" s="63"/>
      <c r="D214" s="63"/>
      <c r="E214" s="64"/>
      <c r="F214" s="84">
        <v>1</v>
      </c>
      <c r="G214" s="48" t="s">
        <v>147</v>
      </c>
      <c r="H214" s="65">
        <v>1000</v>
      </c>
      <c r="I214" s="65">
        <f>F214*H214</f>
        <v>1000</v>
      </c>
      <c r="J214" s="65"/>
      <c r="K214" s="65"/>
      <c r="L214" s="133" t="s">
        <v>155</v>
      </c>
      <c r="M214" s="11"/>
      <c r="N214" s="108" t="s">
        <v>165</v>
      </c>
    </row>
    <row r="215" spans="1:14" ht="24.95" customHeight="1" x14ac:dyDescent="0.2">
      <c r="A215" s="16"/>
      <c r="B215" s="10"/>
      <c r="C215" s="63"/>
      <c r="D215" s="63"/>
      <c r="E215" s="64"/>
      <c r="F215" s="84">
        <v>1</v>
      </c>
      <c r="G215" s="48" t="s">
        <v>185</v>
      </c>
      <c r="H215" s="65">
        <v>350</v>
      </c>
      <c r="I215" s="65">
        <f>F215*H215</f>
        <v>350</v>
      </c>
      <c r="J215" s="65"/>
      <c r="K215" s="65"/>
      <c r="L215" s="133"/>
      <c r="N215" s="108" t="s">
        <v>183</v>
      </c>
    </row>
    <row r="216" spans="1:14" ht="24.95" customHeight="1" x14ac:dyDescent="0.2">
      <c r="A216" s="16"/>
      <c r="B216" s="10"/>
      <c r="C216" s="63"/>
      <c r="D216" s="63"/>
      <c r="E216" s="64"/>
      <c r="F216" s="84">
        <v>1</v>
      </c>
      <c r="G216" s="48" t="s">
        <v>185</v>
      </c>
      <c r="H216" s="65">
        <v>800</v>
      </c>
      <c r="I216" s="65">
        <f>F216*H216</f>
        <v>800</v>
      </c>
      <c r="J216" s="35"/>
      <c r="K216" s="35"/>
      <c r="L216" s="135"/>
      <c r="N216" s="108" t="s">
        <v>184</v>
      </c>
    </row>
    <row r="217" spans="1:14" ht="24.95" customHeight="1" x14ac:dyDescent="0.2">
      <c r="A217" s="14">
        <v>44</v>
      </c>
      <c r="B217" s="5" t="s">
        <v>28</v>
      </c>
      <c r="C217" s="36" t="s">
        <v>83</v>
      </c>
      <c r="D217" s="36">
        <v>3356</v>
      </c>
      <c r="E217" s="37" t="s">
        <v>91</v>
      </c>
      <c r="F217" s="85">
        <f>4*0+5.33+0.07-2</f>
        <v>3.4000000000000004</v>
      </c>
      <c r="G217" s="38" t="s">
        <v>147</v>
      </c>
      <c r="H217" s="39">
        <v>1300</v>
      </c>
      <c r="I217" s="39">
        <f t="shared" si="9"/>
        <v>4420.0000000000009</v>
      </c>
      <c r="J217" s="39"/>
      <c r="K217" s="39"/>
      <c r="L217" s="134" t="s">
        <v>156</v>
      </c>
      <c r="M217" s="11"/>
      <c r="N217" s="106" t="s">
        <v>160</v>
      </c>
    </row>
    <row r="218" spans="1:14" ht="24.95" customHeight="1" x14ac:dyDescent="0.2">
      <c r="A218" s="16"/>
      <c r="B218" s="10"/>
      <c r="C218" s="63"/>
      <c r="D218" s="63">
        <v>3356</v>
      </c>
      <c r="E218" s="64" t="s">
        <v>100</v>
      </c>
      <c r="F218" s="84">
        <v>2</v>
      </c>
      <c r="G218" s="48" t="s">
        <v>147</v>
      </c>
      <c r="H218" s="65">
        <v>1550</v>
      </c>
      <c r="I218" s="65">
        <f t="shared" si="9"/>
        <v>3100</v>
      </c>
      <c r="J218" s="65"/>
      <c r="K218" s="65"/>
      <c r="L218" s="133" t="s">
        <v>154</v>
      </c>
      <c r="M218" s="11"/>
      <c r="N218" s="108"/>
    </row>
    <row r="219" spans="1:14" ht="24.95" customHeight="1" x14ac:dyDescent="0.2">
      <c r="A219" s="16"/>
      <c r="B219" s="10"/>
      <c r="C219" s="63"/>
      <c r="D219" s="63"/>
      <c r="E219" s="64"/>
      <c r="F219" s="84">
        <v>1</v>
      </c>
      <c r="G219" s="48" t="s">
        <v>147</v>
      </c>
      <c r="H219" s="65">
        <v>1000</v>
      </c>
      <c r="I219" s="65">
        <f t="shared" si="9"/>
        <v>1000</v>
      </c>
      <c r="J219" s="65"/>
      <c r="K219" s="65"/>
      <c r="L219" s="133" t="s">
        <v>155</v>
      </c>
      <c r="M219" s="11"/>
      <c r="N219" s="108" t="s">
        <v>165</v>
      </c>
    </row>
    <row r="220" spans="1:14" ht="24.95" customHeight="1" x14ac:dyDescent="0.2">
      <c r="A220" s="16"/>
      <c r="B220" s="10"/>
      <c r="C220" s="63"/>
      <c r="D220" s="63"/>
      <c r="E220" s="64"/>
      <c r="F220" s="84">
        <v>1</v>
      </c>
      <c r="G220" s="48" t="s">
        <v>185</v>
      </c>
      <c r="H220" s="65">
        <v>350</v>
      </c>
      <c r="I220" s="65">
        <f>F220*H220</f>
        <v>350</v>
      </c>
      <c r="J220" s="65"/>
      <c r="K220" s="65"/>
      <c r="L220" s="133"/>
      <c r="N220" s="108" t="s">
        <v>183</v>
      </c>
    </row>
    <row r="221" spans="1:14" ht="24.95" customHeight="1" x14ac:dyDescent="0.2">
      <c r="A221" s="16"/>
      <c r="B221" s="10"/>
      <c r="C221" s="63"/>
      <c r="D221" s="63"/>
      <c r="E221" s="64"/>
      <c r="F221" s="84">
        <v>1</v>
      </c>
      <c r="G221" s="48" t="s">
        <v>185</v>
      </c>
      <c r="H221" s="65">
        <v>800</v>
      </c>
      <c r="I221" s="65">
        <f>F221*H221</f>
        <v>800</v>
      </c>
      <c r="J221" s="35"/>
      <c r="K221" s="35"/>
      <c r="L221" s="135"/>
      <c r="N221" s="108" t="s">
        <v>184</v>
      </c>
    </row>
    <row r="222" spans="1:14" ht="24.95" customHeight="1" x14ac:dyDescent="0.2">
      <c r="A222" s="14">
        <v>45</v>
      </c>
      <c r="B222" s="21">
        <v>465</v>
      </c>
      <c r="C222" s="36" t="s">
        <v>84</v>
      </c>
      <c r="D222" s="36">
        <v>1254</v>
      </c>
      <c r="E222" s="37" t="s">
        <v>92</v>
      </c>
      <c r="F222" s="85">
        <v>1.2</v>
      </c>
      <c r="G222" s="38" t="s">
        <v>147</v>
      </c>
      <c r="H222" s="39">
        <v>1300</v>
      </c>
      <c r="I222" s="39">
        <f t="shared" si="9"/>
        <v>1560</v>
      </c>
      <c r="J222" s="39"/>
      <c r="K222" s="39"/>
      <c r="L222" s="134" t="s">
        <v>156</v>
      </c>
      <c r="N222" s="106" t="s">
        <v>180</v>
      </c>
    </row>
    <row r="223" spans="1:14" ht="24.95" customHeight="1" x14ac:dyDescent="0.2">
      <c r="A223" s="16"/>
      <c r="B223" s="122"/>
      <c r="C223" s="63"/>
      <c r="D223" s="63"/>
      <c r="E223" s="64"/>
      <c r="F223" s="84">
        <v>3.8</v>
      </c>
      <c r="G223" s="48" t="s">
        <v>147</v>
      </c>
      <c r="H223" s="65">
        <v>1000</v>
      </c>
      <c r="I223" s="65">
        <f t="shared" si="9"/>
        <v>3800</v>
      </c>
      <c r="J223" s="65"/>
      <c r="K223" s="65"/>
      <c r="L223" s="133" t="s">
        <v>155</v>
      </c>
      <c r="N223" s="108"/>
    </row>
    <row r="224" spans="1:14" ht="24.95" customHeight="1" x14ac:dyDescent="0.2">
      <c r="A224" s="16"/>
      <c r="B224" s="122"/>
      <c r="C224" s="63"/>
      <c r="D224" s="63"/>
      <c r="E224" s="64"/>
      <c r="F224" s="84">
        <v>1</v>
      </c>
      <c r="G224" s="48" t="s">
        <v>147</v>
      </c>
      <c r="H224" s="65">
        <v>1000</v>
      </c>
      <c r="I224" s="65">
        <f t="shared" si="9"/>
        <v>1000</v>
      </c>
      <c r="J224" s="65"/>
      <c r="K224" s="65"/>
      <c r="L224" s="133" t="s">
        <v>155</v>
      </c>
      <c r="M224" s="11"/>
      <c r="N224" s="108" t="s">
        <v>165</v>
      </c>
    </row>
    <row r="225" spans="1:14" ht="24.95" customHeight="1" x14ac:dyDescent="0.2">
      <c r="A225" s="16"/>
      <c r="B225" s="122"/>
      <c r="C225" s="63"/>
      <c r="D225" s="63"/>
      <c r="E225" s="64"/>
      <c r="F225" s="84">
        <v>1</v>
      </c>
      <c r="G225" s="48" t="s">
        <v>185</v>
      </c>
      <c r="H225" s="65">
        <v>350</v>
      </c>
      <c r="I225" s="65">
        <f>F225*H225</f>
        <v>350</v>
      </c>
      <c r="J225" s="65"/>
      <c r="K225" s="65"/>
      <c r="L225" s="133"/>
      <c r="N225" s="108" t="s">
        <v>183</v>
      </c>
    </row>
    <row r="226" spans="1:14" ht="24.95" customHeight="1" x14ac:dyDescent="0.2">
      <c r="A226" s="16"/>
      <c r="B226" s="122"/>
      <c r="C226" s="63"/>
      <c r="D226" s="63"/>
      <c r="E226" s="64"/>
      <c r="F226" s="84">
        <v>1</v>
      </c>
      <c r="G226" s="48" t="s">
        <v>185</v>
      </c>
      <c r="H226" s="65">
        <v>800</v>
      </c>
      <c r="I226" s="65">
        <f>F226*H226</f>
        <v>800</v>
      </c>
      <c r="J226" s="35"/>
      <c r="K226" s="35"/>
      <c r="L226" s="135"/>
      <c r="N226" s="108" t="s">
        <v>184</v>
      </c>
    </row>
    <row r="227" spans="1:14" ht="24.95" customHeight="1" x14ac:dyDescent="0.2">
      <c r="A227" s="15">
        <v>46</v>
      </c>
      <c r="B227" s="9" t="s">
        <v>28</v>
      </c>
      <c r="C227" s="36" t="s">
        <v>85</v>
      </c>
      <c r="D227" s="36">
        <v>3946</v>
      </c>
      <c r="E227" s="37" t="s">
        <v>101</v>
      </c>
      <c r="F227" s="85">
        <v>4</v>
      </c>
      <c r="G227" s="38" t="s">
        <v>147</v>
      </c>
      <c r="H227" s="39">
        <v>1300</v>
      </c>
      <c r="I227" s="39"/>
      <c r="J227" s="39">
        <f>F227*H227</f>
        <v>5200</v>
      </c>
      <c r="K227" s="39"/>
      <c r="L227" s="134" t="s">
        <v>156</v>
      </c>
      <c r="N227" s="39"/>
    </row>
    <row r="228" spans="1:14" ht="24.95" customHeight="1" x14ac:dyDescent="0.2">
      <c r="A228" s="118"/>
      <c r="B228" s="123"/>
      <c r="C228" s="63"/>
      <c r="D228" s="63"/>
      <c r="E228" s="64"/>
      <c r="F228" s="84">
        <v>2</v>
      </c>
      <c r="G228" s="48" t="s">
        <v>147</v>
      </c>
      <c r="H228" s="65">
        <v>1550</v>
      </c>
      <c r="I228" s="65"/>
      <c r="J228" s="65">
        <f>F228*H228</f>
        <v>3100</v>
      </c>
      <c r="K228" s="65"/>
      <c r="L228" s="133" t="s">
        <v>154</v>
      </c>
      <c r="N228" s="65"/>
    </row>
    <row r="229" spans="1:14" ht="24.95" customHeight="1" x14ac:dyDescent="0.2">
      <c r="A229" s="118"/>
      <c r="B229" s="123"/>
      <c r="C229" s="63"/>
      <c r="D229" s="63"/>
      <c r="E229" s="64"/>
      <c r="F229" s="84">
        <v>1</v>
      </c>
      <c r="G229" s="48" t="s">
        <v>147</v>
      </c>
      <c r="H229" s="65">
        <v>1000</v>
      </c>
      <c r="I229" s="65"/>
      <c r="J229" s="65">
        <f>F229*H229</f>
        <v>1000</v>
      </c>
      <c r="K229" s="65"/>
      <c r="L229" s="133" t="s">
        <v>155</v>
      </c>
      <c r="M229" s="11"/>
      <c r="N229" s="65" t="s">
        <v>165</v>
      </c>
    </row>
    <row r="230" spans="1:14" ht="24.95" customHeight="1" x14ac:dyDescent="0.2">
      <c r="A230" s="118"/>
      <c r="B230" s="123"/>
      <c r="C230" s="63"/>
      <c r="D230" s="63"/>
      <c r="E230" s="64"/>
      <c r="F230" s="84">
        <v>2</v>
      </c>
      <c r="G230" s="48" t="s">
        <v>185</v>
      </c>
      <c r="H230" s="65">
        <v>350</v>
      </c>
      <c r="I230" s="65"/>
      <c r="J230" s="65">
        <f>F230*H230</f>
        <v>700</v>
      </c>
      <c r="K230" s="65"/>
      <c r="L230" s="133"/>
      <c r="M230" s="11"/>
      <c r="N230" s="65" t="s">
        <v>183</v>
      </c>
    </row>
    <row r="231" spans="1:14" ht="24.95" customHeight="1" x14ac:dyDescent="0.2">
      <c r="A231" s="118"/>
      <c r="B231" s="123"/>
      <c r="C231" s="63"/>
      <c r="D231" s="63"/>
      <c r="E231" s="64"/>
      <c r="F231" s="84">
        <v>0</v>
      </c>
      <c r="G231" s="48" t="s">
        <v>185</v>
      </c>
      <c r="H231" s="65">
        <v>800</v>
      </c>
      <c r="I231" s="65"/>
      <c r="J231" s="65">
        <f>F231*H231</f>
        <v>0</v>
      </c>
      <c r="K231" s="65"/>
      <c r="L231" s="133"/>
      <c r="M231" s="11"/>
      <c r="N231" s="65" t="s">
        <v>184</v>
      </c>
    </row>
    <row r="232" spans="1:14" ht="24.95" customHeight="1" x14ac:dyDescent="0.2">
      <c r="A232" s="14">
        <v>47</v>
      </c>
      <c r="B232" s="21">
        <v>1131</v>
      </c>
      <c r="C232" s="36" t="s">
        <v>86</v>
      </c>
      <c r="D232" s="36">
        <v>1517</v>
      </c>
      <c r="E232" s="37" t="s">
        <v>102</v>
      </c>
      <c r="F232" s="85">
        <v>0.9</v>
      </c>
      <c r="G232" s="38" t="s">
        <v>147</v>
      </c>
      <c r="H232" s="39">
        <v>1300</v>
      </c>
      <c r="I232" s="39">
        <f t="shared" ref="I232:I244" si="10">F232*H232</f>
        <v>1170</v>
      </c>
      <c r="J232" s="39"/>
      <c r="K232" s="39"/>
      <c r="L232" s="134" t="s">
        <v>156</v>
      </c>
      <c r="N232" s="106" t="s">
        <v>180</v>
      </c>
    </row>
    <row r="233" spans="1:14" ht="24.95" customHeight="1" x14ac:dyDescent="0.2">
      <c r="A233" s="16"/>
      <c r="B233" s="122"/>
      <c r="C233" s="63"/>
      <c r="D233" s="63"/>
      <c r="E233" s="64"/>
      <c r="F233" s="84">
        <v>3.6</v>
      </c>
      <c r="G233" s="48" t="s">
        <v>147</v>
      </c>
      <c r="H233" s="65">
        <v>1000</v>
      </c>
      <c r="I233" s="65">
        <f t="shared" si="10"/>
        <v>3600</v>
      </c>
      <c r="J233" s="65"/>
      <c r="K233" s="65"/>
      <c r="L233" s="133" t="s">
        <v>155</v>
      </c>
      <c r="N233" s="108"/>
    </row>
    <row r="234" spans="1:14" ht="24.95" customHeight="1" x14ac:dyDescent="0.2">
      <c r="A234" s="16"/>
      <c r="B234" s="122"/>
      <c r="C234" s="63"/>
      <c r="D234" s="63"/>
      <c r="E234" s="64"/>
      <c r="F234" s="84">
        <v>1</v>
      </c>
      <c r="G234" s="48" t="s">
        <v>147</v>
      </c>
      <c r="H234" s="65">
        <v>1000</v>
      </c>
      <c r="I234" s="65">
        <f>F234*H234</f>
        <v>1000</v>
      </c>
      <c r="J234" s="65"/>
      <c r="K234" s="65"/>
      <c r="L234" s="133"/>
      <c r="M234" s="11"/>
      <c r="N234" s="108" t="s">
        <v>165</v>
      </c>
    </row>
    <row r="235" spans="1:14" ht="24.95" customHeight="1" x14ac:dyDescent="0.2">
      <c r="A235" s="16"/>
      <c r="B235" s="122"/>
      <c r="C235" s="63"/>
      <c r="D235" s="63"/>
      <c r="E235" s="64"/>
      <c r="F235" s="84">
        <v>1</v>
      </c>
      <c r="G235" s="48" t="s">
        <v>185</v>
      </c>
      <c r="H235" s="65">
        <v>350</v>
      </c>
      <c r="I235" s="65">
        <f>F235*H235</f>
        <v>350</v>
      </c>
      <c r="J235" s="65"/>
      <c r="K235" s="65"/>
      <c r="L235" s="133"/>
      <c r="N235" s="108" t="s">
        <v>183</v>
      </c>
    </row>
    <row r="236" spans="1:14" ht="24.95" customHeight="1" x14ac:dyDescent="0.2">
      <c r="A236" s="16"/>
      <c r="B236" s="122"/>
      <c r="C236" s="63"/>
      <c r="D236" s="63"/>
      <c r="E236" s="64"/>
      <c r="F236" s="84">
        <v>1</v>
      </c>
      <c r="G236" s="48" t="s">
        <v>185</v>
      </c>
      <c r="H236" s="65">
        <v>800</v>
      </c>
      <c r="I236" s="65">
        <f>F236*H236</f>
        <v>800</v>
      </c>
      <c r="J236" s="35"/>
      <c r="K236" s="35"/>
      <c r="L236" s="135"/>
      <c r="N236" s="108" t="s">
        <v>184</v>
      </c>
    </row>
    <row r="237" spans="1:14" ht="24.95" customHeight="1" x14ac:dyDescent="0.2">
      <c r="A237" s="14">
        <v>48</v>
      </c>
      <c r="B237" s="5">
        <v>1483</v>
      </c>
      <c r="C237" s="36" t="s">
        <v>87</v>
      </c>
      <c r="D237" s="36">
        <v>3268</v>
      </c>
      <c r="E237" s="37" t="s">
        <v>168</v>
      </c>
      <c r="F237" s="85">
        <v>4</v>
      </c>
      <c r="G237" s="38" t="s">
        <v>147</v>
      </c>
      <c r="H237" s="39">
        <v>1300</v>
      </c>
      <c r="I237" s="39">
        <f t="shared" si="10"/>
        <v>5200</v>
      </c>
      <c r="J237" s="39"/>
      <c r="K237" s="39"/>
      <c r="L237" s="134" t="s">
        <v>156</v>
      </c>
      <c r="M237" s="11"/>
      <c r="N237" s="106" t="s">
        <v>160</v>
      </c>
    </row>
    <row r="238" spans="1:14" ht="24.95" customHeight="1" x14ac:dyDescent="0.2">
      <c r="A238" s="16"/>
      <c r="B238" s="10"/>
      <c r="C238" s="63"/>
      <c r="D238" s="63"/>
      <c r="E238" s="64"/>
      <c r="F238" s="84">
        <v>2</v>
      </c>
      <c r="G238" s="48" t="s">
        <v>147</v>
      </c>
      <c r="H238" s="65">
        <v>1550</v>
      </c>
      <c r="I238" s="65">
        <f t="shared" si="10"/>
        <v>3100</v>
      </c>
      <c r="J238" s="65"/>
      <c r="K238" s="65"/>
      <c r="L238" s="133" t="s">
        <v>154</v>
      </c>
      <c r="M238" s="11"/>
      <c r="N238" s="108"/>
    </row>
    <row r="239" spans="1:14" ht="24.95" customHeight="1" x14ac:dyDescent="0.2">
      <c r="A239" s="16"/>
      <c r="B239" s="10"/>
      <c r="C239" s="63"/>
      <c r="D239" s="63"/>
      <c r="E239" s="64"/>
      <c r="F239" s="84">
        <v>1</v>
      </c>
      <c r="G239" s="48" t="s">
        <v>147</v>
      </c>
      <c r="H239" s="65">
        <v>1000</v>
      </c>
      <c r="I239" s="65">
        <f t="shared" si="10"/>
        <v>1000</v>
      </c>
      <c r="J239" s="65"/>
      <c r="K239" s="65"/>
      <c r="L239" s="133" t="s">
        <v>155</v>
      </c>
      <c r="M239" s="11"/>
      <c r="N239" s="108" t="s">
        <v>165</v>
      </c>
    </row>
    <row r="240" spans="1:14" ht="24.95" customHeight="1" x14ac:dyDescent="0.2">
      <c r="A240" s="16"/>
      <c r="B240" s="10"/>
      <c r="C240" s="63"/>
      <c r="D240" s="63"/>
      <c r="E240" s="64"/>
      <c r="F240" s="84">
        <v>1</v>
      </c>
      <c r="G240" s="48" t="s">
        <v>185</v>
      </c>
      <c r="H240" s="65">
        <v>350</v>
      </c>
      <c r="I240" s="65">
        <f>F240*H240</f>
        <v>350</v>
      </c>
      <c r="J240" s="65"/>
      <c r="K240" s="65"/>
      <c r="L240" s="133"/>
      <c r="N240" s="108" t="s">
        <v>183</v>
      </c>
    </row>
    <row r="241" spans="1:14" ht="24.95" customHeight="1" x14ac:dyDescent="0.2">
      <c r="A241" s="16"/>
      <c r="B241" s="10"/>
      <c r="C241" s="63"/>
      <c r="D241" s="63"/>
      <c r="E241" s="64"/>
      <c r="F241" s="84">
        <v>1</v>
      </c>
      <c r="G241" s="48" t="s">
        <v>185</v>
      </c>
      <c r="H241" s="65">
        <v>800</v>
      </c>
      <c r="I241" s="65">
        <f>F241*H241</f>
        <v>800</v>
      </c>
      <c r="J241" s="35"/>
      <c r="K241" s="35"/>
      <c r="L241" s="135"/>
      <c r="N241" s="108" t="s">
        <v>184</v>
      </c>
    </row>
    <row r="242" spans="1:14" ht="24.95" customHeight="1" x14ac:dyDescent="0.2">
      <c r="A242" s="14">
        <v>49</v>
      </c>
      <c r="B242" s="21" t="s">
        <v>88</v>
      </c>
      <c r="C242" s="36" t="s">
        <v>89</v>
      </c>
      <c r="D242" s="36">
        <v>3267</v>
      </c>
      <c r="E242" s="37" t="s">
        <v>93</v>
      </c>
      <c r="F242" s="85">
        <v>3.6</v>
      </c>
      <c r="G242" s="38" t="s">
        <v>147</v>
      </c>
      <c r="H242" s="39">
        <v>1300</v>
      </c>
      <c r="I242" s="39">
        <f t="shared" si="10"/>
        <v>4680</v>
      </c>
      <c r="J242" s="39"/>
      <c r="K242" s="39"/>
      <c r="L242" s="134" t="s">
        <v>156</v>
      </c>
      <c r="N242" s="106" t="s">
        <v>180</v>
      </c>
    </row>
    <row r="243" spans="1:14" ht="24.95" customHeight="1" x14ac:dyDescent="0.2">
      <c r="A243" s="16"/>
      <c r="B243" s="122"/>
      <c r="C243" s="63"/>
      <c r="D243" s="63"/>
      <c r="E243" s="64"/>
      <c r="F243" s="84">
        <v>2</v>
      </c>
      <c r="G243" s="48" t="s">
        <v>147</v>
      </c>
      <c r="H243" s="65">
        <v>1550</v>
      </c>
      <c r="I243" s="65">
        <f t="shared" si="10"/>
        <v>3100</v>
      </c>
      <c r="J243" s="65"/>
      <c r="K243" s="65"/>
      <c r="L243" s="133" t="s">
        <v>154</v>
      </c>
      <c r="N243" s="108"/>
    </row>
    <row r="244" spans="1:14" ht="24.95" customHeight="1" x14ac:dyDescent="0.2">
      <c r="A244" s="16"/>
      <c r="B244" s="122"/>
      <c r="C244" s="63"/>
      <c r="D244" s="63"/>
      <c r="E244" s="64"/>
      <c r="F244" s="84">
        <v>1</v>
      </c>
      <c r="G244" s="48" t="s">
        <v>147</v>
      </c>
      <c r="H244" s="65">
        <v>1000</v>
      </c>
      <c r="I244" s="65">
        <f t="shared" si="10"/>
        <v>1000</v>
      </c>
      <c r="J244" s="65"/>
      <c r="K244" s="65"/>
      <c r="L244" s="133" t="s">
        <v>155</v>
      </c>
      <c r="M244" s="11"/>
      <c r="N244" s="108" t="s">
        <v>165</v>
      </c>
    </row>
    <row r="245" spans="1:14" ht="24.95" customHeight="1" x14ac:dyDescent="0.2">
      <c r="A245" s="16"/>
      <c r="B245" s="122"/>
      <c r="C245" s="63"/>
      <c r="D245" s="63"/>
      <c r="E245" s="64"/>
      <c r="F245" s="84">
        <v>2</v>
      </c>
      <c r="G245" s="48" t="s">
        <v>185</v>
      </c>
      <c r="H245" s="65">
        <v>350</v>
      </c>
      <c r="I245" s="65">
        <f>F245*H245</f>
        <v>700</v>
      </c>
      <c r="J245" s="65"/>
      <c r="K245" s="65"/>
      <c r="L245" s="133"/>
      <c r="N245" s="108" t="s">
        <v>183</v>
      </c>
    </row>
    <row r="246" spans="1:14" ht="24.95" customHeight="1" x14ac:dyDescent="0.2">
      <c r="A246" s="16"/>
      <c r="B246" s="122"/>
      <c r="C246" s="63"/>
      <c r="D246" s="63"/>
      <c r="E246" s="64"/>
      <c r="F246" s="84">
        <v>0</v>
      </c>
      <c r="G246" s="48" t="s">
        <v>185</v>
      </c>
      <c r="H246" s="65">
        <v>800</v>
      </c>
      <c r="I246" s="65">
        <f>F246*H246</f>
        <v>0</v>
      </c>
      <c r="J246" s="35"/>
      <c r="K246" s="35"/>
      <c r="L246" s="135"/>
      <c r="N246" s="108" t="s">
        <v>184</v>
      </c>
    </row>
    <row r="247" spans="1:14" ht="24.95" customHeight="1" x14ac:dyDescent="0.2">
      <c r="A247" s="109">
        <v>50</v>
      </c>
      <c r="B247" s="5">
        <v>1485</v>
      </c>
      <c r="C247" s="36" t="s">
        <v>90</v>
      </c>
      <c r="D247" s="36">
        <v>3340</v>
      </c>
      <c r="E247" s="37" t="s">
        <v>103</v>
      </c>
      <c r="F247" s="85">
        <v>6</v>
      </c>
      <c r="G247" s="38" t="s">
        <v>147</v>
      </c>
      <c r="H247" s="39">
        <v>1300</v>
      </c>
      <c r="I247" s="39"/>
      <c r="J247" s="197">
        <f>F247*H247*0</f>
        <v>0</v>
      </c>
      <c r="K247" s="39"/>
      <c r="L247" s="134" t="s">
        <v>156</v>
      </c>
      <c r="N247" s="196" t="s">
        <v>193</v>
      </c>
    </row>
    <row r="248" spans="1:14" ht="24.95" customHeight="1" x14ac:dyDescent="0.2">
      <c r="A248" s="149"/>
      <c r="B248" s="10"/>
      <c r="C248" s="63"/>
      <c r="D248" s="63"/>
      <c r="E248" s="64"/>
      <c r="F248" s="84">
        <v>1</v>
      </c>
      <c r="G248" s="48" t="s">
        <v>147</v>
      </c>
      <c r="H248" s="65">
        <v>1000</v>
      </c>
      <c r="I248" s="65"/>
      <c r="J248" s="198">
        <f>F248*H248*0</f>
        <v>0</v>
      </c>
      <c r="K248" s="65"/>
      <c r="L248" s="133" t="s">
        <v>155</v>
      </c>
      <c r="N248" s="65" t="s">
        <v>165</v>
      </c>
    </row>
    <row r="249" spans="1:14" ht="24.95" customHeight="1" x14ac:dyDescent="0.2">
      <c r="A249" s="149"/>
      <c r="B249" s="10"/>
      <c r="C249" s="63"/>
      <c r="D249" s="63"/>
      <c r="E249" s="64"/>
      <c r="F249" s="84">
        <v>1</v>
      </c>
      <c r="G249" s="48" t="s">
        <v>185</v>
      </c>
      <c r="H249" s="65">
        <v>350</v>
      </c>
      <c r="I249" s="65"/>
      <c r="J249" s="198">
        <f>F249*H249*0</f>
        <v>0</v>
      </c>
      <c r="K249" s="65"/>
      <c r="L249" s="133"/>
      <c r="M249" s="11"/>
      <c r="N249" s="65" t="s">
        <v>183</v>
      </c>
    </row>
    <row r="250" spans="1:14" ht="24.95" customHeight="1" thickBot="1" x14ac:dyDescent="0.25">
      <c r="A250" s="148"/>
      <c r="B250" s="76"/>
      <c r="C250" s="41"/>
      <c r="D250" s="41"/>
      <c r="E250" s="42"/>
      <c r="F250" s="87">
        <v>1</v>
      </c>
      <c r="G250" s="43" t="s">
        <v>185</v>
      </c>
      <c r="H250" s="44">
        <v>800</v>
      </c>
      <c r="I250" s="44"/>
      <c r="J250" s="79">
        <f>F250*H250*0</f>
        <v>0</v>
      </c>
      <c r="K250" s="44"/>
      <c r="L250" s="138"/>
      <c r="M250" s="11"/>
      <c r="N250" s="44" t="s">
        <v>184</v>
      </c>
    </row>
    <row r="251" spans="1:14" ht="24.95" customHeight="1" thickBot="1" x14ac:dyDescent="0.25">
      <c r="A251" s="19">
        <v>14</v>
      </c>
      <c r="B251" s="11"/>
      <c r="C251" s="45"/>
      <c r="D251" s="45"/>
      <c r="E251" s="47"/>
      <c r="F251" s="101" t="s">
        <v>186</v>
      </c>
      <c r="G251" s="102"/>
      <c r="H251" s="103"/>
      <c r="I251" s="110">
        <f>SUM(I139:I250)</f>
        <v>117325</v>
      </c>
      <c r="J251" s="110">
        <f>SUM(J139:J250)</f>
        <v>42950</v>
      </c>
      <c r="K251" s="110">
        <f>J251+I251</f>
        <v>160275</v>
      </c>
      <c r="N251" s="144"/>
    </row>
    <row r="252" spans="1:14" ht="24.95" customHeight="1" thickBot="1" x14ac:dyDescent="0.25">
      <c r="A252" s="18">
        <v>4</v>
      </c>
      <c r="B252" s="54"/>
      <c r="C252" s="54"/>
      <c r="D252" s="54"/>
      <c r="E252" s="54"/>
      <c r="F252" s="124" t="s">
        <v>176</v>
      </c>
      <c r="G252" s="125"/>
      <c r="H252" s="126"/>
      <c r="I252" s="72">
        <f>I251/14</f>
        <v>8380.3571428571431</v>
      </c>
      <c r="J252" s="70">
        <f>J251/4</f>
        <v>10737.5</v>
      </c>
      <c r="K252" s="70">
        <f>K251/(14+4+6*0)</f>
        <v>8904.1666666666661</v>
      </c>
      <c r="L252" s="140"/>
      <c r="N252" s="78"/>
    </row>
    <row r="253" spans="1:14" ht="24.95" customHeight="1" thickBot="1" x14ac:dyDescent="0.25">
      <c r="A253" s="242">
        <v>6</v>
      </c>
      <c r="B253" s="54"/>
      <c r="C253" s="54"/>
      <c r="D253" s="54"/>
      <c r="E253" s="54"/>
      <c r="F253" s="162">
        <f>F139+F140+F141+F144+F145+F146+F174+F175+F178+F179+F182+F183+F186+F187+F190+F191+F194+F195+F212+F213+F214+F217+F218+F219+F222+F223+F224+F232+F233+F234+F237+F238+F239+F242+F243+F244</f>
        <v>81.399999999999991</v>
      </c>
      <c r="G253" s="125" t="s">
        <v>147</v>
      </c>
      <c r="H253" s="126"/>
      <c r="I253" s="72">
        <f>I251/F253</f>
        <v>1441.3390663390664</v>
      </c>
      <c r="J253" s="70"/>
      <c r="K253" s="70"/>
      <c r="L253" s="140"/>
      <c r="N253" s="77"/>
    </row>
    <row r="254" spans="1:14" ht="24.95" customHeight="1" thickBot="1" x14ac:dyDescent="0.25">
      <c r="A254" s="54"/>
      <c r="B254" s="54"/>
      <c r="C254" s="54"/>
      <c r="D254" s="54"/>
      <c r="E254" s="54"/>
      <c r="F254" s="162">
        <f>F170+F171+F198+F199+F207+F208+F209+F227+F228+F229</f>
        <v>30</v>
      </c>
      <c r="G254" s="125" t="s">
        <v>147</v>
      </c>
      <c r="H254" s="126"/>
      <c r="I254" s="72"/>
      <c r="J254" s="70">
        <f>J251/F254</f>
        <v>1431.6666666666667</v>
      </c>
      <c r="K254" s="70"/>
      <c r="N254" s="61"/>
    </row>
    <row r="255" spans="1:14" ht="24.95" customHeight="1" thickBot="1" x14ac:dyDescent="0.25">
      <c r="A255" s="54"/>
      <c r="B255" s="54"/>
      <c r="C255" s="54"/>
      <c r="D255" s="54"/>
      <c r="E255" s="54"/>
      <c r="F255" s="162">
        <f>F139+F140+F141+F144+F145+F146+F170+F171+F174+F175+F178+F179+F182+F183+F186+F187+F190+F191+F194+F195+F198+F199+F207+F208+F209+F212+F213+F214+F217+F218+F219+F222+F223+F224+F227+F228+F229+F232+F233+F234+F237+F238+F239+F242+F243+F244</f>
        <v>111.39999999999999</v>
      </c>
      <c r="G255" s="125" t="s">
        <v>147</v>
      </c>
      <c r="H255" s="126"/>
      <c r="I255" s="72"/>
      <c r="J255" s="70"/>
      <c r="K255" s="70">
        <f>K251/F255</f>
        <v>1438.7342908438063</v>
      </c>
      <c r="N255" s="61"/>
    </row>
    <row r="256" spans="1:14" ht="24.95" customHeight="1" x14ac:dyDescent="0.2">
      <c r="A256" s="54"/>
      <c r="B256" s="54"/>
      <c r="C256" s="54"/>
      <c r="D256" s="54"/>
      <c r="E256" s="54"/>
      <c r="F256" s="92"/>
      <c r="G256" s="60"/>
      <c r="H256" s="61"/>
      <c r="I256" s="61"/>
      <c r="N256" s="61"/>
    </row>
    <row r="257" spans="1:14" s="2" customFormat="1" ht="24.95" customHeight="1" x14ac:dyDescent="0.25">
      <c r="A257" s="50" t="s">
        <v>106</v>
      </c>
      <c r="B257" s="51"/>
      <c r="C257" s="51"/>
      <c r="D257" s="51"/>
      <c r="E257" s="50"/>
      <c r="F257" s="89"/>
      <c r="G257" s="52"/>
      <c r="H257" s="62"/>
      <c r="I257" s="62"/>
      <c r="J257" s="71"/>
      <c r="K257" s="71"/>
      <c r="L257" s="131"/>
      <c r="N257" s="62"/>
    </row>
    <row r="258" spans="1:14" ht="24.95" customHeight="1" thickBot="1" x14ac:dyDescent="0.3">
      <c r="A258" s="50" t="s">
        <v>0</v>
      </c>
      <c r="B258" s="54"/>
      <c r="C258" s="54"/>
      <c r="D258" s="54"/>
      <c r="E258" s="50"/>
      <c r="F258" s="90"/>
      <c r="G258" s="55"/>
      <c r="H258" s="62"/>
      <c r="I258" s="62"/>
      <c r="N258" s="62"/>
    </row>
    <row r="259" spans="1:14" s="6" customFormat="1" ht="20.100000000000001" customHeight="1" x14ac:dyDescent="0.2">
      <c r="A259" s="213" t="s">
        <v>6</v>
      </c>
      <c r="B259" s="215" t="s">
        <v>4</v>
      </c>
      <c r="C259" s="215" t="s">
        <v>3</v>
      </c>
      <c r="D259" s="215" t="s">
        <v>2</v>
      </c>
      <c r="E259" s="217" t="s">
        <v>135</v>
      </c>
      <c r="F259" s="219" t="s">
        <v>148</v>
      </c>
      <c r="G259" s="227"/>
      <c r="H259" s="231" t="s">
        <v>151</v>
      </c>
      <c r="I259" s="229" t="s">
        <v>171</v>
      </c>
      <c r="J259" s="229" t="s">
        <v>172</v>
      </c>
      <c r="K259" s="229" t="s">
        <v>150</v>
      </c>
      <c r="L259" s="229" t="s">
        <v>170</v>
      </c>
      <c r="N259" s="231" t="s">
        <v>1</v>
      </c>
    </row>
    <row r="260" spans="1:14" s="7" customFormat="1" ht="20.100000000000001" customHeight="1" thickBot="1" x14ac:dyDescent="0.25">
      <c r="A260" s="214"/>
      <c r="B260" s="216"/>
      <c r="C260" s="216"/>
      <c r="D260" s="216"/>
      <c r="E260" s="218"/>
      <c r="F260" s="220"/>
      <c r="G260" s="228"/>
      <c r="H260" s="232"/>
      <c r="I260" s="230"/>
      <c r="J260" s="230"/>
      <c r="K260" s="230"/>
      <c r="L260" s="230"/>
      <c r="N260" s="232"/>
    </row>
    <row r="261" spans="1:14" s="7" customFormat="1" ht="20.100000000000001" customHeight="1" thickBot="1" x14ac:dyDescent="0.25">
      <c r="A261" s="221" t="s">
        <v>107</v>
      </c>
      <c r="B261" s="222"/>
      <c r="C261" s="222"/>
      <c r="D261" s="222"/>
      <c r="E261" s="222"/>
      <c r="F261" s="91"/>
      <c r="G261" s="57"/>
      <c r="H261" s="58"/>
      <c r="I261" s="59"/>
      <c r="J261" s="28"/>
      <c r="K261" s="28"/>
      <c r="N261" s="99"/>
    </row>
    <row r="262" spans="1:14" ht="24.95" customHeight="1" x14ac:dyDescent="0.2">
      <c r="A262" s="14" t="s">
        <v>113</v>
      </c>
      <c r="B262" s="5"/>
      <c r="C262" s="36" t="s">
        <v>114</v>
      </c>
      <c r="D262" s="36">
        <v>34</v>
      </c>
      <c r="E262" s="37" t="s">
        <v>140</v>
      </c>
      <c r="F262" s="85">
        <f>4*0+3.1*0.5</f>
        <v>1.55</v>
      </c>
      <c r="G262" s="38" t="s">
        <v>147</v>
      </c>
      <c r="H262" s="39">
        <v>1300</v>
      </c>
      <c r="I262" s="39">
        <f>F262*H262</f>
        <v>2015</v>
      </c>
      <c r="J262" s="69"/>
      <c r="K262" s="69"/>
      <c r="L262" s="132" t="s">
        <v>157</v>
      </c>
      <c r="N262" s="106" t="s">
        <v>162</v>
      </c>
    </row>
    <row r="263" spans="1:14" ht="24.95" customHeight="1" x14ac:dyDescent="0.2">
      <c r="A263" s="16"/>
      <c r="B263" s="10"/>
      <c r="C263" s="63"/>
      <c r="D263" s="63"/>
      <c r="E263" s="64"/>
      <c r="F263" s="84">
        <f>F262+1</f>
        <v>2.5499999999999998</v>
      </c>
      <c r="G263" s="48" t="s">
        <v>147</v>
      </c>
      <c r="H263" s="65">
        <v>1000</v>
      </c>
      <c r="I263" s="65">
        <f>F263*I266</f>
        <v>6000.15</v>
      </c>
      <c r="J263" s="65"/>
      <c r="K263" s="65"/>
      <c r="L263" s="133" t="s">
        <v>155</v>
      </c>
      <c r="M263" s="11"/>
      <c r="N263" s="108" t="s">
        <v>166</v>
      </c>
    </row>
    <row r="264" spans="1:14" ht="24.95" customHeight="1" x14ac:dyDescent="0.2">
      <c r="A264" s="16"/>
      <c r="B264" s="10"/>
      <c r="C264" s="63"/>
      <c r="D264" s="63"/>
      <c r="E264" s="64"/>
      <c r="F264" s="84">
        <v>0</v>
      </c>
      <c r="G264" s="48" t="s">
        <v>185</v>
      </c>
      <c r="H264" s="65">
        <v>350</v>
      </c>
      <c r="I264" s="65">
        <f>F264*H264</f>
        <v>0</v>
      </c>
      <c r="J264" s="65"/>
      <c r="K264" s="65"/>
      <c r="L264" s="133"/>
      <c r="N264" s="108" t="s">
        <v>183</v>
      </c>
    </row>
    <row r="265" spans="1:14" ht="24.95" customHeight="1" x14ac:dyDescent="0.2">
      <c r="A265" s="16"/>
      <c r="B265" s="10"/>
      <c r="C265" s="63"/>
      <c r="D265" s="63"/>
      <c r="E265" s="64"/>
      <c r="F265" s="84">
        <v>1</v>
      </c>
      <c r="G265" s="48" t="s">
        <v>185</v>
      </c>
      <c r="H265" s="65">
        <v>800</v>
      </c>
      <c r="I265" s="65">
        <f>F265*H265</f>
        <v>800</v>
      </c>
      <c r="J265" s="35"/>
      <c r="K265" s="35"/>
      <c r="L265" s="135"/>
      <c r="N265" s="108" t="s">
        <v>184</v>
      </c>
    </row>
    <row r="266" spans="1:14" ht="24.95" customHeight="1" x14ac:dyDescent="0.2">
      <c r="A266" s="14" t="s">
        <v>124</v>
      </c>
      <c r="B266" s="5">
        <v>438</v>
      </c>
      <c r="C266" s="36" t="s">
        <v>141</v>
      </c>
      <c r="D266" s="36">
        <v>3594</v>
      </c>
      <c r="E266" s="37" t="s">
        <v>115</v>
      </c>
      <c r="F266" s="85">
        <f>3*0+3.62*0.5</f>
        <v>1.81</v>
      </c>
      <c r="G266" s="38" t="s">
        <v>147</v>
      </c>
      <c r="H266" s="39">
        <v>1300</v>
      </c>
      <c r="I266" s="39">
        <f t="shared" ref="I266:I275" si="11">F266*H266</f>
        <v>2353</v>
      </c>
      <c r="J266" s="39"/>
      <c r="K266" s="39"/>
      <c r="L266" s="134" t="s">
        <v>157</v>
      </c>
      <c r="N266" s="106" t="s">
        <v>162</v>
      </c>
    </row>
    <row r="267" spans="1:14" ht="24.95" customHeight="1" x14ac:dyDescent="0.2">
      <c r="A267" s="16"/>
      <c r="B267" s="10"/>
      <c r="C267" s="63"/>
      <c r="D267" s="63"/>
      <c r="E267" s="64"/>
      <c r="F267" s="84">
        <f>F266+1</f>
        <v>2.81</v>
      </c>
      <c r="G267" s="48" t="s">
        <v>147</v>
      </c>
      <c r="H267" s="65">
        <v>1000</v>
      </c>
      <c r="I267" s="65">
        <f t="shared" si="11"/>
        <v>2810</v>
      </c>
      <c r="J267" s="65"/>
      <c r="K267" s="65"/>
      <c r="L267" s="133" t="s">
        <v>155</v>
      </c>
      <c r="M267" s="11"/>
      <c r="N267" s="108" t="s">
        <v>166</v>
      </c>
    </row>
    <row r="268" spans="1:14" ht="24.95" customHeight="1" x14ac:dyDescent="0.2">
      <c r="A268" s="16"/>
      <c r="B268" s="10"/>
      <c r="C268" s="63"/>
      <c r="D268" s="63"/>
      <c r="E268" s="64"/>
      <c r="F268" s="84">
        <v>0</v>
      </c>
      <c r="G268" s="48" t="s">
        <v>185</v>
      </c>
      <c r="H268" s="65">
        <v>350</v>
      </c>
      <c r="I268" s="65">
        <f>F268*H268</f>
        <v>0</v>
      </c>
      <c r="J268" s="65"/>
      <c r="K268" s="65"/>
      <c r="L268" s="133"/>
      <c r="N268" s="108" t="s">
        <v>183</v>
      </c>
    </row>
    <row r="269" spans="1:14" ht="24.95" customHeight="1" x14ac:dyDescent="0.2">
      <c r="A269" s="16"/>
      <c r="B269" s="10"/>
      <c r="C269" s="63"/>
      <c r="D269" s="63"/>
      <c r="E269" s="64"/>
      <c r="F269" s="84">
        <v>1</v>
      </c>
      <c r="G269" s="48" t="s">
        <v>185</v>
      </c>
      <c r="H269" s="65">
        <v>800</v>
      </c>
      <c r="I269" s="65">
        <f>F269*H269</f>
        <v>800</v>
      </c>
      <c r="J269" s="35"/>
      <c r="K269" s="35"/>
      <c r="L269" s="135"/>
      <c r="N269" s="108" t="s">
        <v>184</v>
      </c>
    </row>
    <row r="270" spans="1:14" ht="24.95" customHeight="1" x14ac:dyDescent="0.2">
      <c r="A270" s="14" t="s">
        <v>121</v>
      </c>
      <c r="B270" s="5">
        <v>1356</v>
      </c>
      <c r="C270" s="36" t="s">
        <v>117</v>
      </c>
      <c r="D270" s="36">
        <v>1112</v>
      </c>
      <c r="E270" s="37" t="s">
        <v>116</v>
      </c>
      <c r="F270" s="85">
        <f>3*0+2.73*0.5</f>
        <v>1.365</v>
      </c>
      <c r="G270" s="38" t="s">
        <v>147</v>
      </c>
      <c r="H270" s="39">
        <v>1300</v>
      </c>
      <c r="I270" s="39">
        <f t="shared" si="11"/>
        <v>1774.5</v>
      </c>
      <c r="J270" s="39"/>
      <c r="K270" s="39"/>
      <c r="L270" s="134" t="s">
        <v>157</v>
      </c>
      <c r="N270" s="106" t="s">
        <v>162</v>
      </c>
    </row>
    <row r="271" spans="1:14" ht="24.95" customHeight="1" x14ac:dyDescent="0.2">
      <c r="A271" s="16"/>
      <c r="B271" s="10"/>
      <c r="C271" s="63"/>
      <c r="D271" s="63"/>
      <c r="E271" s="64"/>
      <c r="F271" s="84">
        <f>F270+1</f>
        <v>2.3650000000000002</v>
      </c>
      <c r="G271" s="48" t="s">
        <v>147</v>
      </c>
      <c r="H271" s="65">
        <v>1000</v>
      </c>
      <c r="I271" s="65">
        <f t="shared" si="11"/>
        <v>2365</v>
      </c>
      <c r="J271" s="65"/>
      <c r="K271" s="65"/>
      <c r="L271" s="133" t="s">
        <v>155</v>
      </c>
      <c r="M271" s="11"/>
      <c r="N271" s="108" t="s">
        <v>166</v>
      </c>
    </row>
    <row r="272" spans="1:14" ht="24.95" customHeight="1" x14ac:dyDescent="0.2">
      <c r="A272" s="16"/>
      <c r="B272" s="10"/>
      <c r="C272" s="63"/>
      <c r="D272" s="63"/>
      <c r="E272" s="64"/>
      <c r="F272" s="84">
        <v>0</v>
      </c>
      <c r="G272" s="48" t="s">
        <v>185</v>
      </c>
      <c r="H272" s="65">
        <v>350</v>
      </c>
      <c r="I272" s="65">
        <f>F272*H272</f>
        <v>0</v>
      </c>
      <c r="J272" s="65"/>
      <c r="K272" s="65"/>
      <c r="L272" s="133"/>
      <c r="N272" s="108" t="s">
        <v>183</v>
      </c>
    </row>
    <row r="273" spans="1:15" ht="24.95" customHeight="1" x14ac:dyDescent="0.2">
      <c r="A273" s="16"/>
      <c r="B273" s="10"/>
      <c r="C273" s="63"/>
      <c r="D273" s="63"/>
      <c r="E273" s="64"/>
      <c r="F273" s="84">
        <v>1</v>
      </c>
      <c r="G273" s="48" t="s">
        <v>185</v>
      </c>
      <c r="H273" s="65">
        <v>800</v>
      </c>
      <c r="I273" s="65">
        <f>F273*H273</f>
        <v>800</v>
      </c>
      <c r="J273" s="35"/>
      <c r="K273" s="35"/>
      <c r="L273" s="135"/>
      <c r="N273" s="108" t="s">
        <v>184</v>
      </c>
    </row>
    <row r="274" spans="1:15" ht="24.95" customHeight="1" x14ac:dyDescent="0.2">
      <c r="A274" s="14" t="s">
        <v>122</v>
      </c>
      <c r="B274" s="5">
        <v>1276</v>
      </c>
      <c r="C274" s="36" t="s">
        <v>118</v>
      </c>
      <c r="D274" s="36">
        <v>3594</v>
      </c>
      <c r="E274" s="37" t="s">
        <v>115</v>
      </c>
      <c r="F274" s="85">
        <f>6*0+5.03*0.5</f>
        <v>2.5150000000000001</v>
      </c>
      <c r="G274" s="38" t="s">
        <v>147</v>
      </c>
      <c r="H274" s="39">
        <v>1300</v>
      </c>
      <c r="I274" s="39">
        <f t="shared" si="11"/>
        <v>3269.5</v>
      </c>
      <c r="J274" s="39"/>
      <c r="K274" s="39"/>
      <c r="L274" s="134" t="s">
        <v>157</v>
      </c>
      <c r="N274" s="106" t="s">
        <v>162</v>
      </c>
    </row>
    <row r="275" spans="1:15" ht="24.95" customHeight="1" x14ac:dyDescent="0.2">
      <c r="A275" s="152"/>
      <c r="B275" s="10"/>
      <c r="C275" s="63"/>
      <c r="D275" s="63"/>
      <c r="E275" s="64"/>
      <c r="F275" s="84">
        <f>F274+1</f>
        <v>3.5150000000000001</v>
      </c>
      <c r="G275" s="48" t="s">
        <v>147</v>
      </c>
      <c r="H275" s="65">
        <v>1000</v>
      </c>
      <c r="I275" s="65">
        <f t="shared" si="11"/>
        <v>3515</v>
      </c>
      <c r="J275" s="65"/>
      <c r="K275" s="65"/>
      <c r="L275" s="133" t="s">
        <v>155</v>
      </c>
      <c r="M275" s="11"/>
      <c r="N275" s="108" t="s">
        <v>167</v>
      </c>
    </row>
    <row r="276" spans="1:15" ht="24.95" customHeight="1" x14ac:dyDescent="0.2">
      <c r="A276" s="152"/>
      <c r="B276" s="10"/>
      <c r="C276" s="63"/>
      <c r="D276" s="63"/>
      <c r="E276" s="64"/>
      <c r="F276" s="84">
        <v>0</v>
      </c>
      <c r="G276" s="48" t="s">
        <v>185</v>
      </c>
      <c r="H276" s="65">
        <v>350</v>
      </c>
      <c r="I276" s="65">
        <f>F276*H276</f>
        <v>0</v>
      </c>
      <c r="J276" s="65"/>
      <c r="K276" s="65"/>
      <c r="L276" s="133"/>
      <c r="N276" s="108" t="s">
        <v>183</v>
      </c>
    </row>
    <row r="277" spans="1:15" ht="24.95" customHeight="1" thickBot="1" x14ac:dyDescent="0.25">
      <c r="A277" s="98"/>
      <c r="B277" s="76"/>
      <c r="C277" s="41"/>
      <c r="D277" s="41"/>
      <c r="E277" s="42"/>
      <c r="F277" s="87">
        <v>1</v>
      </c>
      <c r="G277" s="43" t="s">
        <v>185</v>
      </c>
      <c r="H277" s="44">
        <v>800</v>
      </c>
      <c r="I277" s="44">
        <f>F277*H277</f>
        <v>800</v>
      </c>
      <c r="J277" s="44"/>
      <c r="K277" s="44"/>
      <c r="L277" s="138"/>
      <c r="N277" s="108" t="s">
        <v>184</v>
      </c>
    </row>
    <row r="278" spans="1:15" ht="24.95" customHeight="1" thickBot="1" x14ac:dyDescent="0.25">
      <c r="A278" s="19">
        <v>4</v>
      </c>
      <c r="B278" s="54"/>
      <c r="C278" s="54"/>
      <c r="D278" s="54"/>
      <c r="E278" s="100"/>
      <c r="F278" s="101" t="s">
        <v>186</v>
      </c>
      <c r="G278" s="102"/>
      <c r="H278" s="103"/>
      <c r="I278" s="97">
        <f>SUM(I262:I277)</f>
        <v>27302.15</v>
      </c>
      <c r="J278" s="97">
        <v>0</v>
      </c>
      <c r="K278" s="97">
        <f>I278+J278</f>
        <v>27302.15</v>
      </c>
      <c r="L278" s="160"/>
      <c r="M278" s="11"/>
      <c r="N278" s="104"/>
      <c r="O278" s="11"/>
    </row>
    <row r="279" spans="1:15" ht="24.95" customHeight="1" thickBot="1" x14ac:dyDescent="0.25">
      <c r="A279" s="18">
        <v>0</v>
      </c>
      <c r="B279" s="54"/>
      <c r="C279" s="54"/>
      <c r="D279" s="54"/>
      <c r="E279" s="54"/>
      <c r="F279" s="124" t="s">
        <v>175</v>
      </c>
      <c r="G279" s="125"/>
      <c r="H279" s="126"/>
      <c r="I279" s="72">
        <f>I278/4</f>
        <v>6825.5375000000004</v>
      </c>
      <c r="J279" s="70">
        <f>J278/7</f>
        <v>0</v>
      </c>
      <c r="K279" s="70">
        <f>K278/4</f>
        <v>6825.5375000000004</v>
      </c>
      <c r="N279" s="61"/>
    </row>
    <row r="280" spans="1:15" ht="24.95" customHeight="1" thickBot="1" x14ac:dyDescent="0.25">
      <c r="A280" s="242">
        <v>0</v>
      </c>
      <c r="B280" s="54"/>
      <c r="C280" s="54"/>
      <c r="D280" s="54"/>
      <c r="E280" s="54"/>
      <c r="F280" s="162">
        <f>F262+F263+F266+F267+F270+F271+F274+F275</f>
        <v>18.48</v>
      </c>
      <c r="G280" s="125" t="s">
        <v>147</v>
      </c>
      <c r="H280" s="126"/>
      <c r="I280" s="72">
        <f>I278/F280</f>
        <v>1477.3890692640693</v>
      </c>
      <c r="J280" s="70"/>
      <c r="K280" s="70">
        <f>K278/F280</f>
        <v>1477.3890692640693</v>
      </c>
      <c r="N280" s="61"/>
    </row>
    <row r="281" spans="1:15" ht="24.95" customHeight="1" x14ac:dyDescent="0.2">
      <c r="A281" s="54"/>
      <c r="B281" s="54"/>
      <c r="C281" s="54"/>
      <c r="D281" s="54"/>
      <c r="E281" s="54"/>
      <c r="F281" s="141"/>
      <c r="G281" s="142"/>
      <c r="H281" s="128"/>
      <c r="I281" s="144"/>
      <c r="J281" s="128"/>
      <c r="K281" s="128"/>
      <c r="N281" s="61"/>
    </row>
    <row r="282" spans="1:15" s="2" customFormat="1" ht="24.95" customHeight="1" x14ac:dyDescent="0.25">
      <c r="A282" s="50" t="s">
        <v>109</v>
      </c>
      <c r="B282" s="51"/>
      <c r="C282" s="51"/>
      <c r="D282" s="51"/>
      <c r="E282" s="50"/>
      <c r="F282" s="89"/>
      <c r="G282" s="52"/>
      <c r="H282" s="62"/>
      <c r="I282" s="62"/>
      <c r="J282" s="71"/>
      <c r="K282" s="71"/>
      <c r="L282" s="131"/>
      <c r="N282" s="62"/>
    </row>
    <row r="283" spans="1:15" ht="24.95" customHeight="1" thickBot="1" x14ac:dyDescent="0.3">
      <c r="A283" s="50" t="s">
        <v>0</v>
      </c>
      <c r="B283" s="54"/>
      <c r="C283" s="54"/>
      <c r="D283" s="54"/>
      <c r="E283" s="50"/>
      <c r="F283" s="90"/>
      <c r="G283" s="55"/>
      <c r="H283" s="62"/>
      <c r="I283" s="62"/>
      <c r="N283" s="53"/>
    </row>
    <row r="284" spans="1:15" s="6" customFormat="1" ht="20.100000000000001" customHeight="1" x14ac:dyDescent="0.2">
      <c r="A284" s="213" t="s">
        <v>6</v>
      </c>
      <c r="B284" s="215" t="s">
        <v>4</v>
      </c>
      <c r="C284" s="215" t="s">
        <v>3</v>
      </c>
      <c r="D284" s="215" t="s">
        <v>2</v>
      </c>
      <c r="E284" s="217" t="s">
        <v>135</v>
      </c>
      <c r="F284" s="219" t="s">
        <v>148</v>
      </c>
      <c r="G284" s="227"/>
      <c r="H284" s="231" t="s">
        <v>151</v>
      </c>
      <c r="I284" s="229" t="s">
        <v>171</v>
      </c>
      <c r="J284" s="229" t="s">
        <v>172</v>
      </c>
      <c r="K284" s="229" t="s">
        <v>150</v>
      </c>
      <c r="L284" s="229" t="s">
        <v>170</v>
      </c>
      <c r="N284" s="231" t="s">
        <v>1</v>
      </c>
    </row>
    <row r="285" spans="1:15" s="7" customFormat="1" ht="20.100000000000001" customHeight="1" thickBot="1" x14ac:dyDescent="0.25">
      <c r="A285" s="214"/>
      <c r="B285" s="216"/>
      <c r="C285" s="216"/>
      <c r="D285" s="216"/>
      <c r="E285" s="218"/>
      <c r="F285" s="220"/>
      <c r="G285" s="228"/>
      <c r="H285" s="232"/>
      <c r="I285" s="230"/>
      <c r="J285" s="230"/>
      <c r="K285" s="230"/>
      <c r="L285" s="230"/>
      <c r="N285" s="232"/>
    </row>
    <row r="286" spans="1:15" s="7" customFormat="1" ht="24.95" customHeight="1" thickBot="1" x14ac:dyDescent="0.25">
      <c r="A286" s="221" t="s">
        <v>108</v>
      </c>
      <c r="B286" s="222"/>
      <c r="C286" s="222"/>
      <c r="D286" s="222"/>
      <c r="E286" s="222"/>
      <c r="F286" s="91"/>
      <c r="G286" s="57"/>
      <c r="H286" s="58"/>
      <c r="I286" s="59"/>
      <c r="J286" s="28"/>
      <c r="K286" s="28"/>
      <c r="M286" s="57"/>
      <c r="N286" s="99"/>
      <c r="O286" s="32"/>
    </row>
    <row r="287" spans="1:15" ht="24.95" customHeight="1" thickBot="1" x14ac:dyDescent="0.25">
      <c r="A287" s="168" t="s">
        <v>113</v>
      </c>
      <c r="B287" s="169"/>
      <c r="C287" s="169" t="s">
        <v>119</v>
      </c>
      <c r="D287" s="169">
        <v>847</v>
      </c>
      <c r="E287" s="172" t="s">
        <v>120</v>
      </c>
      <c r="F287" s="173">
        <f>3*0</f>
        <v>0</v>
      </c>
      <c r="G287" s="170" t="s">
        <v>147</v>
      </c>
      <c r="H287" s="171">
        <v>1800</v>
      </c>
      <c r="I287" s="171">
        <f>F287*H287</f>
        <v>0</v>
      </c>
      <c r="J287" s="171"/>
      <c r="K287" s="171"/>
      <c r="L287" s="143" t="s">
        <v>153</v>
      </c>
      <c r="M287" s="54"/>
      <c r="N287" s="147" t="s">
        <v>158</v>
      </c>
      <c r="O287" s="32"/>
    </row>
    <row r="288" spans="1:15" ht="24.95" customHeight="1" thickBot="1" x14ac:dyDescent="0.25">
      <c r="A288" s="174"/>
      <c r="B288" s="175">
        <v>460</v>
      </c>
      <c r="C288" s="175" t="s">
        <v>188</v>
      </c>
      <c r="D288" s="175">
        <v>2106</v>
      </c>
      <c r="E288" s="176" t="s">
        <v>189</v>
      </c>
      <c r="F288" s="177">
        <v>2</v>
      </c>
      <c r="G288" s="178" t="s">
        <v>147</v>
      </c>
      <c r="H288" s="179">
        <v>1800</v>
      </c>
      <c r="I288" s="179"/>
      <c r="J288" s="179">
        <f>F288*H288</f>
        <v>3600</v>
      </c>
      <c r="K288" s="69"/>
      <c r="L288" s="166"/>
      <c r="M288" s="54"/>
      <c r="N288" s="165"/>
      <c r="O288" s="32"/>
    </row>
    <row r="289" spans="1:15" ht="24.95" customHeight="1" x14ac:dyDescent="0.2">
      <c r="A289" s="180"/>
      <c r="B289" s="181"/>
      <c r="C289" s="181"/>
      <c r="D289" s="181"/>
      <c r="E289" s="182"/>
      <c r="F289" s="94">
        <v>1</v>
      </c>
      <c r="G289" s="150" t="s">
        <v>185</v>
      </c>
      <c r="H289" s="96">
        <v>350</v>
      </c>
      <c r="I289" s="96"/>
      <c r="J289" s="96">
        <f>F289*H289</f>
        <v>350</v>
      </c>
      <c r="K289" s="65"/>
      <c r="L289" s="167"/>
      <c r="M289" s="54"/>
      <c r="N289" s="49"/>
      <c r="O289" s="32"/>
    </row>
    <row r="290" spans="1:15" ht="24.95" customHeight="1" thickBot="1" x14ac:dyDescent="0.25">
      <c r="A290" s="183"/>
      <c r="B290" s="184"/>
      <c r="C290" s="184"/>
      <c r="D290" s="184"/>
      <c r="E290" s="185"/>
      <c r="F290" s="186">
        <v>1</v>
      </c>
      <c r="G290" s="187" t="s">
        <v>185</v>
      </c>
      <c r="H290" s="161">
        <v>800</v>
      </c>
      <c r="I290" s="161"/>
      <c r="J290" s="161">
        <f>F290*H290</f>
        <v>800</v>
      </c>
      <c r="K290" s="44"/>
      <c r="L290" s="167"/>
      <c r="M290" s="54"/>
      <c r="N290" s="49"/>
      <c r="O290" s="32"/>
    </row>
    <row r="291" spans="1:15" ht="24.95" customHeight="1" thickBot="1" x14ac:dyDescent="0.25">
      <c r="A291" s="19">
        <v>0</v>
      </c>
      <c r="B291" s="54"/>
      <c r="C291" s="54"/>
      <c r="D291" s="54"/>
      <c r="E291" s="100"/>
      <c r="F291" s="188" t="s">
        <v>174</v>
      </c>
      <c r="G291" s="189"/>
      <c r="H291" s="190"/>
      <c r="I291" s="191">
        <f>SUM(I287)</f>
        <v>0</v>
      </c>
      <c r="J291" s="191">
        <f>SUM(J287:J290)</f>
        <v>4750</v>
      </c>
      <c r="K291" s="191">
        <f>I291+J291</f>
        <v>4750</v>
      </c>
      <c r="M291" s="54"/>
      <c r="N291" s="78"/>
      <c r="O291" s="11"/>
    </row>
    <row r="292" spans="1:15" ht="24.95" customHeight="1" thickBot="1" x14ac:dyDescent="0.25">
      <c r="A292" s="18">
        <v>0</v>
      </c>
      <c r="B292" s="54"/>
      <c r="C292" s="54"/>
      <c r="D292" s="54"/>
      <c r="E292" s="54"/>
      <c r="F292" s="188" t="s">
        <v>190</v>
      </c>
      <c r="G292" s="189"/>
      <c r="H292" s="190"/>
      <c r="I292" s="192"/>
      <c r="J292" s="193">
        <f>J291/1</f>
        <v>4750</v>
      </c>
      <c r="K292" s="193">
        <f>K291</f>
        <v>4750</v>
      </c>
      <c r="N292" s="77"/>
      <c r="O292" s="11"/>
    </row>
    <row r="293" spans="1:15" ht="24.95" customHeight="1" thickBot="1" x14ac:dyDescent="0.25">
      <c r="A293" s="242">
        <v>1</v>
      </c>
      <c r="B293" s="54"/>
      <c r="C293" s="54"/>
      <c r="D293" s="54"/>
      <c r="E293" s="54"/>
      <c r="F293" s="194">
        <f>F288</f>
        <v>2</v>
      </c>
      <c r="G293" s="189" t="s">
        <v>147</v>
      </c>
      <c r="H293" s="190"/>
      <c r="I293" s="192"/>
      <c r="J293" s="193">
        <f>J292/2</f>
        <v>2375</v>
      </c>
      <c r="K293" s="193">
        <f>K291/F293</f>
        <v>2375</v>
      </c>
      <c r="N293" s="61"/>
    </row>
    <row r="294" spans="1:15" ht="24.95" customHeight="1" x14ac:dyDescent="0.2">
      <c r="A294" s="54"/>
      <c r="B294" s="54"/>
      <c r="C294" s="54"/>
      <c r="D294" s="54"/>
      <c r="E294" s="54"/>
      <c r="F294" s="201"/>
      <c r="G294" s="202"/>
      <c r="H294" s="78"/>
      <c r="I294" s="144"/>
      <c r="J294" s="78"/>
      <c r="K294" s="78"/>
      <c r="N294" s="61"/>
    </row>
    <row r="295" spans="1:15" s="2" customFormat="1" ht="24.95" customHeight="1" x14ac:dyDescent="0.25">
      <c r="A295" s="50" t="s">
        <v>111</v>
      </c>
      <c r="B295" s="51"/>
      <c r="C295" s="51"/>
      <c r="D295" s="51"/>
      <c r="E295" s="50"/>
      <c r="F295" s="89"/>
      <c r="G295" s="52"/>
      <c r="H295" s="62"/>
      <c r="I295" s="62"/>
      <c r="J295" s="71"/>
      <c r="K295" s="71"/>
      <c r="L295" s="131"/>
      <c r="N295" s="62"/>
    </row>
    <row r="296" spans="1:15" ht="24.95" customHeight="1" thickBot="1" x14ac:dyDescent="0.3">
      <c r="A296" s="50" t="s">
        <v>0</v>
      </c>
      <c r="B296" s="54"/>
      <c r="C296" s="54"/>
      <c r="D296" s="54"/>
      <c r="E296" s="50"/>
      <c r="F296" s="90"/>
      <c r="G296" s="55"/>
      <c r="H296" s="62"/>
      <c r="I296" s="62"/>
      <c r="N296" s="62"/>
    </row>
    <row r="297" spans="1:15" s="6" customFormat="1" ht="20.100000000000001" customHeight="1" x14ac:dyDescent="0.2">
      <c r="A297" s="213" t="s">
        <v>6</v>
      </c>
      <c r="B297" s="215" t="s">
        <v>4</v>
      </c>
      <c r="C297" s="215" t="s">
        <v>3</v>
      </c>
      <c r="D297" s="215" t="s">
        <v>2</v>
      </c>
      <c r="E297" s="217" t="s">
        <v>135</v>
      </c>
      <c r="F297" s="219" t="s">
        <v>148</v>
      </c>
      <c r="G297" s="227"/>
      <c r="H297" s="231" t="s">
        <v>151</v>
      </c>
      <c r="I297" s="229" t="s">
        <v>171</v>
      </c>
      <c r="J297" s="229" t="s">
        <v>172</v>
      </c>
      <c r="K297" s="229" t="s">
        <v>150</v>
      </c>
      <c r="L297" s="229" t="s">
        <v>170</v>
      </c>
      <c r="N297" s="231" t="s">
        <v>1</v>
      </c>
    </row>
    <row r="298" spans="1:15" s="7" customFormat="1" ht="20.100000000000001" customHeight="1" thickBot="1" x14ac:dyDescent="0.25">
      <c r="A298" s="214"/>
      <c r="B298" s="216"/>
      <c r="C298" s="216"/>
      <c r="D298" s="216"/>
      <c r="E298" s="218"/>
      <c r="F298" s="220"/>
      <c r="G298" s="228"/>
      <c r="H298" s="232"/>
      <c r="I298" s="230"/>
      <c r="J298" s="230"/>
      <c r="K298" s="230"/>
      <c r="L298" s="230"/>
      <c r="N298" s="232"/>
    </row>
    <row r="299" spans="1:15" s="7" customFormat="1" ht="24.95" customHeight="1" thickBot="1" x14ac:dyDescent="0.25">
      <c r="A299" s="221" t="s">
        <v>110</v>
      </c>
      <c r="B299" s="222"/>
      <c r="C299" s="222"/>
      <c r="D299" s="222"/>
      <c r="E299" s="222"/>
      <c r="F299" s="91"/>
      <c r="G299" s="57"/>
      <c r="H299" s="58"/>
      <c r="I299" s="59"/>
      <c r="J299" s="28"/>
      <c r="K299" s="28"/>
      <c r="N299" s="99"/>
    </row>
    <row r="300" spans="1:15" ht="24.95" customHeight="1" x14ac:dyDescent="0.2">
      <c r="A300" s="17" t="s">
        <v>113</v>
      </c>
      <c r="B300" s="5">
        <v>938</v>
      </c>
      <c r="C300" s="36" t="s">
        <v>125</v>
      </c>
      <c r="D300" s="36">
        <v>1503</v>
      </c>
      <c r="E300" s="155" t="s">
        <v>142</v>
      </c>
      <c r="F300" s="83">
        <f>4*0+3.64</f>
        <v>3.64</v>
      </c>
      <c r="G300" s="159" t="s">
        <v>147</v>
      </c>
      <c r="H300" s="69">
        <v>1800</v>
      </c>
      <c r="I300" s="69">
        <f t="shared" ref="I300:I313" si="12">F300*H300</f>
        <v>6552</v>
      </c>
      <c r="J300" s="69"/>
      <c r="K300" s="69"/>
      <c r="L300" s="132" t="s">
        <v>153</v>
      </c>
      <c r="N300" s="107" t="s">
        <v>160</v>
      </c>
    </row>
    <row r="301" spans="1:15" ht="24.95" customHeight="1" x14ac:dyDescent="0.2">
      <c r="A301" s="105"/>
      <c r="B301" s="10"/>
      <c r="C301" s="63"/>
      <c r="D301" s="63"/>
      <c r="E301" s="156"/>
      <c r="F301" s="84">
        <v>1</v>
      </c>
      <c r="G301" s="120" t="s">
        <v>147</v>
      </c>
      <c r="H301" s="65">
        <v>1000</v>
      </c>
      <c r="I301" s="65">
        <f t="shared" si="12"/>
        <v>1000</v>
      </c>
      <c r="J301" s="65"/>
      <c r="K301" s="65"/>
      <c r="L301" s="133" t="s">
        <v>155</v>
      </c>
      <c r="N301" s="108" t="s">
        <v>165</v>
      </c>
    </row>
    <row r="302" spans="1:15" ht="24.95" customHeight="1" x14ac:dyDescent="0.2">
      <c r="A302" s="105"/>
      <c r="B302" s="10"/>
      <c r="C302" s="63"/>
      <c r="D302" s="63"/>
      <c r="E302" s="156"/>
      <c r="F302" s="84">
        <v>1</v>
      </c>
      <c r="G302" s="48" t="s">
        <v>185</v>
      </c>
      <c r="H302" s="65">
        <v>350</v>
      </c>
      <c r="I302" s="65">
        <f>F302*H302</f>
        <v>350</v>
      </c>
      <c r="J302" s="65"/>
      <c r="K302" s="65"/>
      <c r="L302" s="133"/>
      <c r="N302" s="108" t="s">
        <v>183</v>
      </c>
    </row>
    <row r="303" spans="1:15" ht="24.95" customHeight="1" x14ac:dyDescent="0.2">
      <c r="A303" s="105"/>
      <c r="B303" s="10"/>
      <c r="C303" s="63"/>
      <c r="D303" s="63"/>
      <c r="E303" s="156"/>
      <c r="F303" s="84">
        <v>0</v>
      </c>
      <c r="G303" s="48" t="s">
        <v>185</v>
      </c>
      <c r="H303" s="65">
        <v>800</v>
      </c>
      <c r="I303" s="65">
        <f>F303*H303</f>
        <v>0</v>
      </c>
      <c r="J303" s="35"/>
      <c r="K303" s="35"/>
      <c r="L303" s="135"/>
      <c r="N303" s="108" t="s">
        <v>184</v>
      </c>
    </row>
    <row r="304" spans="1:15" ht="24.95" customHeight="1" x14ac:dyDescent="0.2">
      <c r="A304" s="17" t="s">
        <v>124</v>
      </c>
      <c r="B304" s="5">
        <v>985</v>
      </c>
      <c r="C304" s="36" t="s">
        <v>126</v>
      </c>
      <c r="D304" s="36">
        <v>1824</v>
      </c>
      <c r="E304" s="155" t="s">
        <v>130</v>
      </c>
      <c r="F304" s="85">
        <f>4*0+3.64</f>
        <v>3.64</v>
      </c>
      <c r="G304" s="74" t="s">
        <v>147</v>
      </c>
      <c r="H304" s="39">
        <v>1800</v>
      </c>
      <c r="I304" s="39">
        <f t="shared" si="12"/>
        <v>6552</v>
      </c>
      <c r="J304" s="39"/>
      <c r="K304" s="39"/>
      <c r="L304" s="134" t="s">
        <v>153</v>
      </c>
      <c r="N304" s="106" t="s">
        <v>160</v>
      </c>
    </row>
    <row r="305" spans="1:14" ht="24.95" customHeight="1" x14ac:dyDescent="0.2">
      <c r="A305" s="105"/>
      <c r="B305" s="10"/>
      <c r="C305" s="63"/>
      <c r="D305" s="63"/>
      <c r="E305" s="156"/>
      <c r="F305" s="84">
        <v>1</v>
      </c>
      <c r="G305" s="120" t="s">
        <v>147</v>
      </c>
      <c r="H305" s="65">
        <v>1000</v>
      </c>
      <c r="I305" s="65">
        <f t="shared" si="12"/>
        <v>1000</v>
      </c>
      <c r="J305" s="65"/>
      <c r="K305" s="65"/>
      <c r="L305" s="133" t="s">
        <v>155</v>
      </c>
      <c r="N305" s="108" t="s">
        <v>165</v>
      </c>
    </row>
    <row r="306" spans="1:14" ht="24.95" customHeight="1" x14ac:dyDescent="0.2">
      <c r="A306" s="105"/>
      <c r="B306" s="10"/>
      <c r="C306" s="63"/>
      <c r="D306" s="63"/>
      <c r="E306" s="156"/>
      <c r="F306" s="84">
        <v>1</v>
      </c>
      <c r="G306" s="48" t="s">
        <v>185</v>
      </c>
      <c r="H306" s="65">
        <v>350</v>
      </c>
      <c r="I306" s="65">
        <f>F306*H306</f>
        <v>350</v>
      </c>
      <c r="J306" s="65"/>
      <c r="K306" s="65"/>
      <c r="L306" s="133"/>
      <c r="N306" s="108" t="s">
        <v>183</v>
      </c>
    </row>
    <row r="307" spans="1:14" ht="24.95" customHeight="1" x14ac:dyDescent="0.2">
      <c r="A307" s="105"/>
      <c r="B307" s="8"/>
      <c r="C307" s="33"/>
      <c r="D307" s="33"/>
      <c r="E307" s="157"/>
      <c r="F307" s="86">
        <v>0</v>
      </c>
      <c r="G307" s="40" t="s">
        <v>185</v>
      </c>
      <c r="H307" s="35">
        <v>800</v>
      </c>
      <c r="I307" s="35">
        <f>F307*H307</f>
        <v>0</v>
      </c>
      <c r="J307" s="35"/>
      <c r="K307" s="35"/>
      <c r="L307" s="135"/>
      <c r="N307" s="108" t="s">
        <v>184</v>
      </c>
    </row>
    <row r="308" spans="1:14" ht="24.95" customHeight="1" x14ac:dyDescent="0.2">
      <c r="A308" s="105" t="s">
        <v>121</v>
      </c>
      <c r="B308" s="10">
        <v>1002</v>
      </c>
      <c r="C308" s="63" t="s">
        <v>127</v>
      </c>
      <c r="D308" s="63">
        <v>1505</v>
      </c>
      <c r="E308" s="156" t="s">
        <v>143</v>
      </c>
      <c r="F308" s="85">
        <f>4*0+3.68</f>
        <v>3.68</v>
      </c>
      <c r="G308" s="74" t="s">
        <v>147</v>
      </c>
      <c r="H308" s="39">
        <v>1800</v>
      </c>
      <c r="I308" s="39">
        <f t="shared" si="12"/>
        <v>6624</v>
      </c>
      <c r="J308" s="65"/>
      <c r="K308" s="65"/>
      <c r="L308" s="133" t="s">
        <v>153</v>
      </c>
      <c r="N308" s="108" t="s">
        <v>160</v>
      </c>
    </row>
    <row r="309" spans="1:14" ht="24.95" customHeight="1" x14ac:dyDescent="0.2">
      <c r="A309" s="105"/>
      <c r="B309" s="10"/>
      <c r="C309" s="63"/>
      <c r="D309" s="63"/>
      <c r="E309" s="156"/>
      <c r="F309" s="84">
        <v>1</v>
      </c>
      <c r="G309" s="120" t="s">
        <v>147</v>
      </c>
      <c r="H309" s="65">
        <v>1000</v>
      </c>
      <c r="I309" s="65">
        <f t="shared" si="12"/>
        <v>1000</v>
      </c>
      <c r="J309" s="65"/>
      <c r="K309" s="65"/>
      <c r="L309" s="133" t="s">
        <v>164</v>
      </c>
      <c r="N309" s="108" t="s">
        <v>165</v>
      </c>
    </row>
    <row r="310" spans="1:14" ht="24.95" customHeight="1" x14ac:dyDescent="0.2">
      <c r="A310" s="105"/>
      <c r="B310" s="10"/>
      <c r="C310" s="63"/>
      <c r="D310" s="63"/>
      <c r="E310" s="156"/>
      <c r="F310" s="84">
        <v>1</v>
      </c>
      <c r="G310" s="48" t="s">
        <v>185</v>
      </c>
      <c r="H310" s="65">
        <v>350</v>
      </c>
      <c r="I310" s="65">
        <f>F310*H310</f>
        <v>350</v>
      </c>
      <c r="J310" s="65"/>
      <c r="K310" s="65"/>
      <c r="L310" s="133"/>
      <c r="N310" s="108" t="s">
        <v>183</v>
      </c>
    </row>
    <row r="311" spans="1:14" ht="24.95" customHeight="1" x14ac:dyDescent="0.2">
      <c r="A311" s="105"/>
      <c r="B311" s="10"/>
      <c r="C311" s="63"/>
      <c r="D311" s="63"/>
      <c r="E311" s="156"/>
      <c r="F311" s="84">
        <v>1</v>
      </c>
      <c r="G311" s="48" t="s">
        <v>185</v>
      </c>
      <c r="H311" s="65">
        <v>800</v>
      </c>
      <c r="I311" s="65">
        <f>F311*H311</f>
        <v>800</v>
      </c>
      <c r="J311" s="35"/>
      <c r="K311" s="35"/>
      <c r="L311" s="135"/>
      <c r="N311" s="108" t="s">
        <v>184</v>
      </c>
    </row>
    <row r="312" spans="1:14" ht="24.95" customHeight="1" x14ac:dyDescent="0.2">
      <c r="A312" s="17" t="s">
        <v>122</v>
      </c>
      <c r="B312" s="5">
        <v>69</v>
      </c>
      <c r="C312" s="36" t="s">
        <v>128</v>
      </c>
      <c r="D312" s="36">
        <v>753</v>
      </c>
      <c r="E312" s="155" t="s">
        <v>133</v>
      </c>
      <c r="F312" s="93">
        <v>2</v>
      </c>
      <c r="G312" s="74" t="s">
        <v>147</v>
      </c>
      <c r="H312" s="39">
        <v>1800</v>
      </c>
      <c r="I312" s="39">
        <f t="shared" si="12"/>
        <v>3600</v>
      </c>
      <c r="J312" s="39"/>
      <c r="K312" s="39"/>
      <c r="L312" s="134" t="s">
        <v>153</v>
      </c>
      <c r="N312" s="95" t="s">
        <v>161</v>
      </c>
    </row>
    <row r="313" spans="1:14" ht="24.95" customHeight="1" x14ac:dyDescent="0.2">
      <c r="A313" s="16"/>
      <c r="B313" s="10"/>
      <c r="C313" s="63"/>
      <c r="D313" s="63"/>
      <c r="E313" s="156" t="s">
        <v>131</v>
      </c>
      <c r="F313" s="94">
        <v>1</v>
      </c>
      <c r="G313" s="120" t="s">
        <v>147</v>
      </c>
      <c r="H313" s="65">
        <v>1000</v>
      </c>
      <c r="I313" s="65">
        <f t="shared" si="12"/>
        <v>1000</v>
      </c>
      <c r="J313" s="65"/>
      <c r="K313" s="65"/>
      <c r="L313" s="133" t="s">
        <v>155</v>
      </c>
      <c r="N313" s="96" t="s">
        <v>165</v>
      </c>
    </row>
    <row r="314" spans="1:14" ht="24.95" customHeight="1" x14ac:dyDescent="0.2">
      <c r="A314" s="16"/>
      <c r="B314" s="10"/>
      <c r="C314" s="63"/>
      <c r="D314" s="63"/>
      <c r="E314" s="156" t="s">
        <v>132</v>
      </c>
      <c r="F314" s="94">
        <v>1</v>
      </c>
      <c r="G314" s="48" t="s">
        <v>185</v>
      </c>
      <c r="H314" s="65">
        <v>350</v>
      </c>
      <c r="I314" s="65">
        <f>F314*H314</f>
        <v>350</v>
      </c>
      <c r="J314" s="65"/>
      <c r="K314" s="65"/>
      <c r="L314" s="133"/>
      <c r="N314" s="96" t="s">
        <v>183</v>
      </c>
    </row>
    <row r="315" spans="1:14" ht="24.95" customHeight="1" x14ac:dyDescent="0.2">
      <c r="A315" s="16"/>
      <c r="B315" s="10"/>
      <c r="C315" s="63"/>
      <c r="D315" s="63"/>
      <c r="E315" s="156"/>
      <c r="F315" s="94">
        <v>1</v>
      </c>
      <c r="G315" s="48" t="s">
        <v>185</v>
      </c>
      <c r="H315" s="65">
        <v>800</v>
      </c>
      <c r="I315" s="65">
        <f>F315*H315</f>
        <v>800</v>
      </c>
      <c r="J315" s="65"/>
      <c r="K315" s="65"/>
      <c r="L315" s="133"/>
      <c r="M315" s="11"/>
      <c r="N315" s="96" t="s">
        <v>184</v>
      </c>
    </row>
    <row r="316" spans="1:14" ht="24.95" customHeight="1" x14ac:dyDescent="0.2">
      <c r="A316" s="16"/>
      <c r="B316" s="10"/>
      <c r="C316" s="63"/>
      <c r="D316" s="63"/>
      <c r="E316" s="156"/>
      <c r="F316" s="94"/>
      <c r="G316" s="120"/>
      <c r="H316" s="65"/>
      <c r="I316" s="65"/>
      <c r="J316" s="65"/>
      <c r="K316" s="65"/>
      <c r="L316" s="133"/>
      <c r="M316" s="11"/>
      <c r="N316" s="96"/>
    </row>
    <row r="317" spans="1:14" ht="24.95" customHeight="1" x14ac:dyDescent="0.2">
      <c r="A317" s="17" t="s">
        <v>123</v>
      </c>
      <c r="B317" s="5">
        <v>1139</v>
      </c>
      <c r="C317" s="36" t="s">
        <v>129</v>
      </c>
      <c r="D317" s="36">
        <v>287</v>
      </c>
      <c r="E317" s="155" t="s">
        <v>134</v>
      </c>
      <c r="F317" s="93">
        <v>2</v>
      </c>
      <c r="G317" s="74" t="s">
        <v>147</v>
      </c>
      <c r="H317" s="39">
        <v>1800</v>
      </c>
      <c r="I317" s="39">
        <f>F317*H317</f>
        <v>3600</v>
      </c>
      <c r="J317" s="39"/>
      <c r="K317" s="39"/>
      <c r="L317" s="134" t="s">
        <v>153</v>
      </c>
      <c r="N317" s="95"/>
    </row>
    <row r="318" spans="1:14" ht="24.95" customHeight="1" x14ac:dyDescent="0.2">
      <c r="A318" s="105"/>
      <c r="B318" s="10"/>
      <c r="C318" s="63"/>
      <c r="D318" s="63"/>
      <c r="E318" s="156"/>
      <c r="F318" s="94">
        <v>1</v>
      </c>
      <c r="G318" s="120" t="s">
        <v>147</v>
      </c>
      <c r="H318" s="65">
        <v>1000</v>
      </c>
      <c r="I318" s="65">
        <f>F318*H318</f>
        <v>1000</v>
      </c>
      <c r="J318" s="65"/>
      <c r="K318" s="65"/>
      <c r="L318" s="133" t="s">
        <v>155</v>
      </c>
      <c r="N318" s="96" t="s">
        <v>165</v>
      </c>
    </row>
    <row r="319" spans="1:14" ht="24.95" customHeight="1" x14ac:dyDescent="0.2">
      <c r="A319" s="153"/>
      <c r="B319" s="10"/>
      <c r="C319" s="63"/>
      <c r="D319" s="63"/>
      <c r="E319" s="156"/>
      <c r="F319" s="94">
        <v>1</v>
      </c>
      <c r="G319" s="48" t="s">
        <v>185</v>
      </c>
      <c r="H319" s="65">
        <v>350</v>
      </c>
      <c r="I319" s="65">
        <f>F319*H319</f>
        <v>350</v>
      </c>
      <c r="J319" s="65"/>
      <c r="K319" s="65"/>
      <c r="L319" s="133"/>
      <c r="N319" s="96" t="s">
        <v>183</v>
      </c>
    </row>
    <row r="320" spans="1:14" ht="24.95" customHeight="1" thickBot="1" x14ac:dyDescent="0.25">
      <c r="A320" s="154"/>
      <c r="B320" s="76"/>
      <c r="C320" s="41"/>
      <c r="D320" s="41"/>
      <c r="E320" s="158"/>
      <c r="F320" s="94">
        <v>1</v>
      </c>
      <c r="G320" s="48" t="s">
        <v>185</v>
      </c>
      <c r="H320" s="65">
        <v>800</v>
      </c>
      <c r="I320" s="44">
        <f>F320*H320</f>
        <v>800</v>
      </c>
      <c r="J320" s="44"/>
      <c r="K320" s="44"/>
      <c r="L320" s="138"/>
      <c r="M320" s="11"/>
      <c r="N320" s="161" t="s">
        <v>184</v>
      </c>
    </row>
    <row r="321" spans="1:14" ht="24.95" customHeight="1" thickBot="1" x14ac:dyDescent="0.25">
      <c r="A321" s="19">
        <v>5</v>
      </c>
      <c r="E321" s="100"/>
      <c r="F321" s="101" t="s">
        <v>186</v>
      </c>
      <c r="G321" s="102"/>
      <c r="H321" s="103"/>
      <c r="I321" s="97">
        <f>SUM(I300:I320)</f>
        <v>36078</v>
      </c>
      <c r="J321" s="97">
        <f>SUM(J300:J320)</f>
        <v>0</v>
      </c>
      <c r="K321" s="97">
        <f>I321+J321</f>
        <v>36078</v>
      </c>
      <c r="M321" s="11"/>
      <c r="N321" s="128"/>
    </row>
    <row r="322" spans="1:14" ht="24.95" customHeight="1" thickBot="1" x14ac:dyDescent="0.25">
      <c r="A322" s="18">
        <v>0</v>
      </c>
      <c r="E322" s="100"/>
      <c r="F322" s="124" t="s">
        <v>173</v>
      </c>
      <c r="G322" s="125"/>
      <c r="H322" s="126"/>
      <c r="I322" s="72">
        <f>I321/5</f>
        <v>7215.6</v>
      </c>
      <c r="J322" s="70">
        <f>J321/7</f>
        <v>0</v>
      </c>
      <c r="K322" s="70">
        <f>K321/5</f>
        <v>7215.6</v>
      </c>
      <c r="M322" s="11"/>
      <c r="N322" s="128"/>
    </row>
    <row r="323" spans="1:14" ht="24.95" customHeight="1" thickBot="1" x14ac:dyDescent="0.25">
      <c r="A323" s="242">
        <v>0</v>
      </c>
      <c r="E323" s="100"/>
      <c r="F323" s="162">
        <f>F300+F301+F304+F305+F308+F309+F312+F313+F317+F318</f>
        <v>19.96</v>
      </c>
      <c r="G323" s="125" t="s">
        <v>147</v>
      </c>
      <c r="H323" s="126"/>
      <c r="I323" s="72">
        <f>I321/F323</f>
        <v>1807.5150300601201</v>
      </c>
      <c r="J323" s="70"/>
      <c r="K323" s="70">
        <f>K321/F323</f>
        <v>1807.5150300601201</v>
      </c>
      <c r="M323" s="11"/>
      <c r="N323" s="128"/>
    </row>
    <row r="324" spans="1:14" s="11" customFormat="1" ht="24.95" customHeight="1" thickBot="1" x14ac:dyDescent="0.25">
      <c r="A324" s="1"/>
      <c r="E324" s="163"/>
      <c r="F324" s="164"/>
      <c r="G324" s="142"/>
      <c r="H324" s="128"/>
      <c r="I324" s="127"/>
      <c r="J324" s="104"/>
      <c r="K324" s="104"/>
      <c r="L324" s="140"/>
      <c r="N324" s="128"/>
    </row>
    <row r="325" spans="1:14" s="11" customFormat="1" ht="24.95" customHeight="1" thickBot="1" x14ac:dyDescent="0.25">
      <c r="A325" s="1"/>
      <c r="E325" s="163"/>
      <c r="F325" s="236" t="s">
        <v>203</v>
      </c>
      <c r="G325" s="237"/>
      <c r="H325" s="237"/>
      <c r="I325" s="237"/>
      <c r="J325" s="237"/>
      <c r="K325" s="237"/>
      <c r="L325" s="238"/>
      <c r="N325" s="128"/>
    </row>
    <row r="326" spans="1:14" s="11" customFormat="1" ht="24.95" customHeight="1" thickBot="1" x14ac:dyDescent="0.25">
      <c r="A326" s="19">
        <f>A128+A251+A278+A291+A321</f>
        <v>44</v>
      </c>
      <c r="C326" s="19"/>
      <c r="E326" s="1" t="s">
        <v>145</v>
      </c>
      <c r="F326" s="239" t="s">
        <v>178</v>
      </c>
      <c r="G326" s="240"/>
      <c r="H326" s="240"/>
      <c r="I326" s="240"/>
      <c r="J326" s="240"/>
      <c r="K326" s="241"/>
      <c r="L326" s="235" t="s">
        <v>179</v>
      </c>
      <c r="N326" s="128"/>
    </row>
    <row r="327" spans="1:14" ht="24.95" customHeight="1" thickBot="1" x14ac:dyDescent="0.25">
      <c r="A327" s="18">
        <f>A129+A252+A279+A292+A322</f>
        <v>6</v>
      </c>
      <c r="B327" s="11"/>
      <c r="C327" s="18"/>
      <c r="E327" s="1" t="s">
        <v>146</v>
      </c>
      <c r="F327" s="101" t="s">
        <v>177</v>
      </c>
      <c r="G327" s="102"/>
      <c r="H327" s="103"/>
      <c r="I327" s="72">
        <f>I321+I287+I278+I251+I128</f>
        <v>388930.15</v>
      </c>
      <c r="J327" s="70">
        <f>J321+J291+J278+J251+J128</f>
        <v>70000</v>
      </c>
      <c r="K327" s="70">
        <f>K321+K287+K278+K251+K128</f>
        <v>454180.15</v>
      </c>
      <c r="L327" s="70">
        <f>K327*1.21</f>
        <v>549557.98149999999</v>
      </c>
      <c r="M327" s="11"/>
      <c r="N327" s="128"/>
    </row>
    <row r="328" spans="1:14" ht="24.95" customHeight="1" thickBot="1" x14ac:dyDescent="0.25">
      <c r="A328" s="242">
        <f>A130+A253+A280+A293+A323</f>
        <v>10</v>
      </c>
      <c r="C328" s="20"/>
      <c r="E328" s="1" t="s">
        <v>197</v>
      </c>
      <c r="F328" s="124" t="s">
        <v>199</v>
      </c>
      <c r="G328" s="125"/>
      <c r="H328" s="126"/>
      <c r="I328" s="72">
        <f>I327/44</f>
        <v>8839.3215909090923</v>
      </c>
      <c r="J328" s="70"/>
      <c r="K328" s="70"/>
      <c r="L328" s="70"/>
      <c r="M328" s="11"/>
      <c r="N328" s="128"/>
    </row>
    <row r="329" spans="1:14" ht="24.95" customHeight="1" thickBot="1" x14ac:dyDescent="0.25">
      <c r="A329" s="1">
        <f>SUM(A326:A328)</f>
        <v>60</v>
      </c>
      <c r="E329" s="100"/>
      <c r="F329" s="124" t="s">
        <v>200</v>
      </c>
      <c r="G329" s="102"/>
      <c r="H329" s="103"/>
      <c r="I329" s="72"/>
      <c r="J329" s="70">
        <f>J327/6</f>
        <v>11666.666666666666</v>
      </c>
      <c r="K329" s="70"/>
      <c r="L329" s="70"/>
      <c r="M329" s="11"/>
      <c r="N329" s="128"/>
    </row>
    <row r="330" spans="1:14" ht="24.95" customHeight="1" thickBot="1" x14ac:dyDescent="0.25">
      <c r="A330" s="1">
        <f>51+4+1+5-1</f>
        <v>60</v>
      </c>
      <c r="E330" s="100"/>
      <c r="F330" s="124" t="s">
        <v>201</v>
      </c>
      <c r="G330" s="102"/>
      <c r="H330" s="103"/>
      <c r="I330" s="72"/>
      <c r="J330" s="70"/>
      <c r="K330" s="70">
        <f>K327/(44+6+10*0)</f>
        <v>9083.603000000001</v>
      </c>
      <c r="L330" s="70">
        <f>L327/(44+6+10*0)</f>
        <v>10991.15963</v>
      </c>
      <c r="M330" s="11"/>
      <c r="N330" s="128"/>
    </row>
    <row r="331" spans="1:14" ht="24.95" customHeight="1" thickBot="1" x14ac:dyDescent="0.25">
      <c r="E331" s="100"/>
      <c r="F331" s="162">
        <f>F130+F253+F280+F323</f>
        <v>238.33999999999997</v>
      </c>
      <c r="G331" s="125" t="s">
        <v>147</v>
      </c>
      <c r="H331" s="126"/>
      <c r="I331" s="72">
        <f>I327/F331</f>
        <v>1631.8291096752541</v>
      </c>
      <c r="J331" s="70"/>
      <c r="K331" s="70"/>
      <c r="L331" s="70"/>
      <c r="M331" s="11"/>
      <c r="N331" s="128"/>
    </row>
    <row r="332" spans="1:14" ht="24.95" customHeight="1" thickBot="1" x14ac:dyDescent="0.25">
      <c r="E332" s="100"/>
      <c r="F332" s="162">
        <f>F131+F254</f>
        <v>42</v>
      </c>
      <c r="G332" s="125" t="s">
        <v>147</v>
      </c>
      <c r="H332" s="126"/>
      <c r="I332" s="72"/>
      <c r="J332" s="70">
        <f>J327/F332</f>
        <v>1666.6666666666667</v>
      </c>
      <c r="K332" s="70"/>
      <c r="L332" s="70"/>
      <c r="M332" s="11"/>
      <c r="N332" s="128"/>
    </row>
    <row r="333" spans="1:14" ht="24.95" customHeight="1" thickBot="1" x14ac:dyDescent="0.25">
      <c r="E333" s="100"/>
      <c r="F333" s="162">
        <f>F132+F255+F280+F323</f>
        <v>280.34000000000003</v>
      </c>
      <c r="G333" s="125" t="s">
        <v>147</v>
      </c>
      <c r="H333" s="126"/>
      <c r="I333" s="72"/>
      <c r="J333" s="70"/>
      <c r="K333" s="70">
        <f>K327/F333</f>
        <v>1620.1046942997787</v>
      </c>
      <c r="L333" s="70">
        <f>K333*1.21</f>
        <v>1960.3266801027321</v>
      </c>
      <c r="M333" s="11"/>
      <c r="N333" s="128"/>
    </row>
    <row r="334" spans="1:14" ht="24.95" customHeight="1" x14ac:dyDescent="0.2">
      <c r="E334" s="100"/>
      <c r="F334" s="141"/>
      <c r="G334" s="142"/>
      <c r="H334" s="128"/>
      <c r="I334" s="144"/>
      <c r="J334" s="128"/>
      <c r="K334" s="128"/>
      <c r="L334" s="145"/>
      <c r="M334" s="11"/>
      <c r="N334" s="128"/>
    </row>
  </sheetData>
  <mergeCells count="69">
    <mergeCell ref="F325:L325"/>
    <mergeCell ref="F326:K326"/>
    <mergeCell ref="N3:N4"/>
    <mergeCell ref="A3:A4"/>
    <mergeCell ref="B3:B4"/>
    <mergeCell ref="C3:C4"/>
    <mergeCell ref="D3:D4"/>
    <mergeCell ref="E3:E4"/>
    <mergeCell ref="F3:G4"/>
    <mergeCell ref="H3:H4"/>
    <mergeCell ref="I3:I4"/>
    <mergeCell ref="J3:J4"/>
    <mergeCell ref="K3:K4"/>
    <mergeCell ref="L3:L4"/>
    <mergeCell ref="L136:L137"/>
    <mergeCell ref="A5:E5"/>
    <mergeCell ref="A136:A137"/>
    <mergeCell ref="B136:B137"/>
    <mergeCell ref="C136:C137"/>
    <mergeCell ref="D136:D137"/>
    <mergeCell ref="E136:E137"/>
    <mergeCell ref="N259:N260"/>
    <mergeCell ref="N136:N137"/>
    <mergeCell ref="A138:E138"/>
    <mergeCell ref="A169:E169"/>
    <mergeCell ref="A206:E206"/>
    <mergeCell ref="A259:A260"/>
    <mergeCell ref="B259:B260"/>
    <mergeCell ref="C259:C260"/>
    <mergeCell ref="D259:D260"/>
    <mergeCell ref="E259:E260"/>
    <mergeCell ref="F259:G260"/>
    <mergeCell ref="F136:G137"/>
    <mergeCell ref="H136:H137"/>
    <mergeCell ref="I136:I137"/>
    <mergeCell ref="J136:J137"/>
    <mergeCell ref="K136:K137"/>
    <mergeCell ref="H259:H260"/>
    <mergeCell ref="I259:I260"/>
    <mergeCell ref="J259:J260"/>
    <mergeCell ref="K259:K260"/>
    <mergeCell ref="L259:L260"/>
    <mergeCell ref="A261:E261"/>
    <mergeCell ref="A284:A285"/>
    <mergeCell ref="B284:B285"/>
    <mergeCell ref="C284:C285"/>
    <mergeCell ref="D284:D285"/>
    <mergeCell ref="E284:E285"/>
    <mergeCell ref="N284:N285"/>
    <mergeCell ref="A286:E286"/>
    <mergeCell ref="A297:A298"/>
    <mergeCell ref="B297:B298"/>
    <mergeCell ref="C297:C298"/>
    <mergeCell ref="D297:D298"/>
    <mergeCell ref="E297:E298"/>
    <mergeCell ref="F297:G298"/>
    <mergeCell ref="H297:H298"/>
    <mergeCell ref="I297:I298"/>
    <mergeCell ref="F284:G285"/>
    <mergeCell ref="H284:H285"/>
    <mergeCell ref="I284:I285"/>
    <mergeCell ref="J284:J285"/>
    <mergeCell ref="K284:K285"/>
    <mergeCell ref="L284:L285"/>
    <mergeCell ref="J297:J298"/>
    <mergeCell ref="K297:K298"/>
    <mergeCell ref="L297:L298"/>
    <mergeCell ref="N297:N298"/>
    <mergeCell ref="A299:E299"/>
  </mergeCells>
  <printOptions horizontalCentered="1"/>
  <pageMargins left="0.11811023622047245" right="0.11811023622047245" top="0.19685039370078741" bottom="0.19685039370078741" header="0.31496062992125984" footer="0.31496062992125984"/>
  <pageSetup paperSize="8" scale="5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nové náklady bez připojených</vt:lpstr>
      <vt:lpstr>'nové náklady bez připojených'!Oblast_tisku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Cermak Petr</dc:creator>
  <cp:lastModifiedBy>Cermak Petr</cp:lastModifiedBy>
  <cp:lastPrinted>2019-09-13T06:43:37Z</cp:lastPrinted>
  <dcterms:created xsi:type="dcterms:W3CDTF">2017-06-12T05:32:02Z</dcterms:created>
  <dcterms:modified xsi:type="dcterms:W3CDTF">2019-09-13T06:44:11Z</dcterms:modified>
</cp:coreProperties>
</file>