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11955" activeTab="0"/>
  </bookViews>
  <sheets>
    <sheet name="Hlavní krycí list rozpočtu" sheetId="1" r:id="rId1"/>
    <sheet name="Krycí list rozpočtu-U ZŠ" sheetId="2" r:id="rId2"/>
    <sheet name="Stavební rozpočet - součet-U ZŠ" sheetId="3" r:id="rId3"/>
    <sheet name="Stavební rozpočet-U ZŠ" sheetId="4" r:id="rId4"/>
    <sheet name="Krycí list rozpočtu-KŘ" sheetId="5" r:id="rId5"/>
    <sheet name="Stavební rozpočet - součet-KŘ" sheetId="6" r:id="rId6"/>
    <sheet name="Stavební rozpočet-KŘ" sheetId="7" r:id="rId7"/>
    <sheet name="Rekapitualce VO" sheetId="8" r:id="rId8"/>
    <sheet name="Rozpočet VO" sheetId="9" r:id="rId9"/>
  </sheets>
  <definedNames/>
  <calcPr fullCalcOnLoad="1"/>
</workbook>
</file>

<file path=xl/sharedStrings.xml><?xml version="1.0" encoding="utf-8"?>
<sst xmlns="http://schemas.openxmlformats.org/spreadsheetml/2006/main" count="1832" uniqueCount="500">
  <si>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</si>
  <si>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</si>
  <si>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</si>
  <si>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</si>
  <si>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</si>
  <si>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</si>
  <si>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</si>
  <si>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</si>
  <si>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</si>
  <si>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</si>
  <si>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</si>
  <si>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</si>
  <si>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</si>
  <si>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</si>
  <si>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</si>
  <si>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</si>
  <si>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</si>
  <si>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</si>
  <si>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</si>
  <si>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</si>
  <si>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</si>
  <si>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</si>
  <si>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</si>
  <si>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</si>
  <si>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</si>
  <si>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</si>
  <si>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</si>
  <si>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</si>
  <si>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</si>
  <si>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</si>
  <si>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</si>
  <si>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</si>
  <si>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</si>
  <si>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</si>
  <si>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</si>
  <si>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</si>
  <si>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</si>
  <si>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</si>
  <si>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</si>
  <si>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</si>
  <si>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</si>
  <si>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</si>
  <si>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</si>
  <si>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</si>
  <si>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</si>
  <si>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</si>
  <si>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</si>
  <si>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</si>
  <si>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</si>
  <si>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</si>
  <si>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</si>
  <si>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</si>
  <si>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</si>
  <si>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</si>
  <si>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</si>
  <si>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</si>
  <si>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</si>
  <si>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</si>
  <si>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</si>
  <si>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</si>
  <si>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</si>
  <si>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</si>
  <si>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Poznámka:</t>
  </si>
  <si>
    <t>Objekt</t>
  </si>
  <si>
    <t>Kód</t>
  </si>
  <si>
    <t>0</t>
  </si>
  <si>
    <t>003VD</t>
  </si>
  <si>
    <t>004VD</t>
  </si>
  <si>
    <t>113201111R00</t>
  </si>
  <si>
    <t>113106231R00</t>
  </si>
  <si>
    <t>113107200RA0</t>
  </si>
  <si>
    <t>113107515R00</t>
  </si>
  <si>
    <t>113107530R00</t>
  </si>
  <si>
    <t>111</t>
  </si>
  <si>
    <t>111000001VD</t>
  </si>
  <si>
    <t>122201101R00</t>
  </si>
  <si>
    <t>131201110R00</t>
  </si>
  <si>
    <t>167101101R00</t>
  </si>
  <si>
    <t>167101103R00</t>
  </si>
  <si>
    <t>162301102R00</t>
  </si>
  <si>
    <t>181101102R00</t>
  </si>
  <si>
    <t>275311114R00</t>
  </si>
  <si>
    <t>56</t>
  </si>
  <si>
    <t>564851111R00</t>
  </si>
  <si>
    <t>567211120R00</t>
  </si>
  <si>
    <t>57</t>
  </si>
  <si>
    <t>573211111R00</t>
  </si>
  <si>
    <t>577112114RT3</t>
  </si>
  <si>
    <t>59</t>
  </si>
  <si>
    <t>596215021R00</t>
  </si>
  <si>
    <t>59248052</t>
  </si>
  <si>
    <t>59245309</t>
  </si>
  <si>
    <t>59248053</t>
  </si>
  <si>
    <t>596215040R00</t>
  </si>
  <si>
    <t>59248050</t>
  </si>
  <si>
    <t>711</t>
  </si>
  <si>
    <t>711131311R00</t>
  </si>
  <si>
    <t>28323115</t>
  </si>
  <si>
    <t>91</t>
  </si>
  <si>
    <t>917161111R00</t>
  </si>
  <si>
    <t>919735122R00</t>
  </si>
  <si>
    <t>915712211R00</t>
  </si>
  <si>
    <t>914001111R00</t>
  </si>
  <si>
    <t>40445962.A</t>
  </si>
  <si>
    <t>40445044.A</t>
  </si>
  <si>
    <t>404459503</t>
  </si>
  <si>
    <t>553462195</t>
  </si>
  <si>
    <t>404459501</t>
  </si>
  <si>
    <t>40445300</t>
  </si>
  <si>
    <t>40445141.A</t>
  </si>
  <si>
    <t>40445029.A</t>
  </si>
  <si>
    <t>97</t>
  </si>
  <si>
    <t>979024441R00</t>
  </si>
  <si>
    <t>H22</t>
  </si>
  <si>
    <t>998223011R00</t>
  </si>
  <si>
    <t>998223095R00</t>
  </si>
  <si>
    <t>998222012R00</t>
  </si>
  <si>
    <t>998222095R00</t>
  </si>
  <si>
    <t>998224111R00</t>
  </si>
  <si>
    <t>998224192R00</t>
  </si>
  <si>
    <t>S</t>
  </si>
  <si>
    <t>979087113R00</t>
  </si>
  <si>
    <t>979093111R00</t>
  </si>
  <si>
    <t>979990121R00</t>
  </si>
  <si>
    <t>979083117R00</t>
  </si>
  <si>
    <t>979083191R00</t>
  </si>
  <si>
    <t>979990001R00</t>
  </si>
  <si>
    <t>Stavební úpravy chodníků v ul. Žitomířská, město Český Brod</t>
  </si>
  <si>
    <t>křižovatka ul. Žitomířská a ul. B. Smetany</t>
  </si>
  <si>
    <t>Zkrácený popis</t>
  </si>
  <si>
    <t>Rozměry</t>
  </si>
  <si>
    <t>Všeobecné konstrukce a práce</t>
  </si>
  <si>
    <t>Geodetické zaměření stavby - skutečné provedení</t>
  </si>
  <si>
    <t>Dopravně inženýrské opatření během realizace stavby (projektová dokumentace+dopravní značení+vyřízení)</t>
  </si>
  <si>
    <t>Přípravné a přidružené práce</t>
  </si>
  <si>
    <t>Vytrhání obrub chodníkových ležatých</t>
  </si>
  <si>
    <t>Rozebrání dlažeb ze zámkové dlažby v kamenivu</t>
  </si>
  <si>
    <t>Odstranění asfaltového krytu tl. 5 cm, pl.do 50 m2</t>
  </si>
  <si>
    <t>Odstranění podkladu pl. 50 m2,kam.drcené tl.15 cm</t>
  </si>
  <si>
    <t>Odstranění podkladu pl. 50 m2,kam.drcené tl.30 cm</t>
  </si>
  <si>
    <t>Odstranění travin a křovin</t>
  </si>
  <si>
    <t>Vytyčení  případ. stáv.inž.sítí,vlastní vytyčení chod.</t>
  </si>
  <si>
    <t>Odkopávky a prokopávky</t>
  </si>
  <si>
    <t>Odkopávky nezapažené v hor. 3 do 100 m3</t>
  </si>
  <si>
    <t>Hloubené vykopávky</t>
  </si>
  <si>
    <t>Hloubení nezapaž. jam hor.3 do 50 m3, STROJNĚ</t>
  </si>
  <si>
    <t>Přemístění výkopku</t>
  </si>
  <si>
    <t>Nakládání výkopku z hor.1-4 v množství do 100 m3</t>
  </si>
  <si>
    <t>Složení výkopku z hor.1-4, deponie v Českém Brodě</t>
  </si>
  <si>
    <t>Vodorovné přemístění výkopku z hor.1-4 do 1000 m</t>
  </si>
  <si>
    <t>Povrchové úpravy terénu</t>
  </si>
  <si>
    <t>Úprava pláně v zářezech v hor. 1-4, se zhutněním</t>
  </si>
  <si>
    <t>Základy</t>
  </si>
  <si>
    <t>Beton základ. patek prostý z cem. portlad. C 12/15</t>
  </si>
  <si>
    <t>Podkladní vrstvy komunikací a zpevněných ploch</t>
  </si>
  <si>
    <t>Podklad ze štěrkodrti po zhutnění tloušťky 15 cm (chodník+vjezdy)</t>
  </si>
  <si>
    <t>Podklad z prostého betonu tř. I  tloušťky 20 cm (komunikace)</t>
  </si>
  <si>
    <t>Kryty štěrkových a živičných pozemních komunikací a zpevněných ploch</t>
  </si>
  <si>
    <t>Postřik živičný spojovací z asfaltu 0,5-0,7 kg/m2</t>
  </si>
  <si>
    <t>Beton asfalt. ACO 11 S modifik. š. do 3 m, tl.5 cm</t>
  </si>
  <si>
    <t>Dlažby a předlažby pozemních komunikací a zpevněných ploch</t>
  </si>
  <si>
    <t>Kladení zámkové dlažby tl. 6 cm do drtě tl. 4 cm</t>
  </si>
  <si>
    <t>Dlažba zámková 10/10/6 II červená</t>
  </si>
  <si>
    <t>Dlažba červená pro nevidomé 20x10x8</t>
  </si>
  <si>
    <t>Dlažba zámková 10/10/6 II antracit</t>
  </si>
  <si>
    <t>Kladení zámkové dlažby tl. 8 cm do drtě tl. 4 cm</t>
  </si>
  <si>
    <t>Dlažba zámková 10/10/8 II přírodní</t>
  </si>
  <si>
    <t>Izolace proti vodě</t>
  </si>
  <si>
    <t>Provedení izolace nopovou fólií</t>
  </si>
  <si>
    <t>Fólie nopová tl. 0,6 mm š. 1000 mm</t>
  </si>
  <si>
    <t>Doplňující konstrukce a práce na pozemních komunikacích a zpevněných plochách</t>
  </si>
  <si>
    <t>Osazení lež. obrub.kamen. s opěrou, lože z C 12/15</t>
  </si>
  <si>
    <t>Řezání stávajícího betonového krytu tl. 5 - 10 cm</t>
  </si>
  <si>
    <t>Vodorovné značení střík.barvou proužků š. do 50 cm</t>
  </si>
  <si>
    <t>Montáž svislých dopr.značek</t>
  </si>
  <si>
    <t>Vodorovné značení střík.barvou proužků š. do 50 cm + 3x 2 pásky</t>
  </si>
  <si>
    <t>Dopravní příslušenství, patka AL 4 ks kot šroubů</t>
  </si>
  <si>
    <t>Značka dopr inf IP6 500/500 fól1,EG7letá</t>
  </si>
  <si>
    <t>Sloupek Fe pr.60 pozinkovaný, l= 3000 mm</t>
  </si>
  <si>
    <t>Objímka na sloupek ZN + PVC d 60 mm</t>
  </si>
  <si>
    <t>Sloupek Fe pr.60 pozinkovaný, l= 2000 mm</t>
  </si>
  <si>
    <t>Značka dopr.výstr. A11,pozink.ref.tř.2</t>
  </si>
  <si>
    <t>Značka dopr dodat E1 500/500 fól 1, EG 7letá</t>
  </si>
  <si>
    <t>Značka dopr příkazová C4a 500 fól 1, EG 7letá</t>
  </si>
  <si>
    <t>Prorážení otvorů a ostatní bourací práce</t>
  </si>
  <si>
    <t>Očištění vybour. obrubníků všech loží a výplní</t>
  </si>
  <si>
    <t>Komunikace pozemní a letiště</t>
  </si>
  <si>
    <t>Přesun hmot, pozemní komunikace, kryt dlážděný</t>
  </si>
  <si>
    <t>Přesun hmot, komunik. dlážděné, přípl. dalších 5km</t>
  </si>
  <si>
    <t>Přesun hmot, zpevněné plochy, kryt z kameniva</t>
  </si>
  <si>
    <t>Přesun hmot, komunikace z kameniva, dalších 5 km</t>
  </si>
  <si>
    <t>Přesun hmot, beton</t>
  </si>
  <si>
    <t>Přesun hmot, beton, příplatek 2 km</t>
  </si>
  <si>
    <t>Přesuny sutí</t>
  </si>
  <si>
    <t>Nakládání vybouraných hmot na dopravní prostředky</t>
  </si>
  <si>
    <t>Uložení suti na skládku bez zhutnění</t>
  </si>
  <si>
    <t>Poplatek za skládku suti - asfaltové pásy</t>
  </si>
  <si>
    <t>Vodorovné přemístění suti na skládku do 6000 m</t>
  </si>
  <si>
    <t>Příplatek za dalších započatých 1000 m nad 6000 m</t>
  </si>
  <si>
    <t>Poplatek za skládku suti - ostatní</t>
  </si>
  <si>
    <t>Doba výstavby:</t>
  </si>
  <si>
    <t>Začátek výstavby:</t>
  </si>
  <si>
    <t>Konec výstavby:</t>
  </si>
  <si>
    <t>Zpracováno dne:</t>
  </si>
  <si>
    <t>M.j.</t>
  </si>
  <si>
    <t>kpl</t>
  </si>
  <si>
    <t>m</t>
  </si>
  <si>
    <t>m2</t>
  </si>
  <si>
    <t>Soubor</t>
  </si>
  <si>
    <t>m3</t>
  </si>
  <si>
    <t>kus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</si>
  <si>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</si>
  <si>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</si>
  <si>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</si>
  <si>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</si>
  <si>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</si>
  <si>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</si>
  <si>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</si>
  <si>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</si>
  <si>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</si>
  <si>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</si>
  <si>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</si>
  <si>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</si>
  <si>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Český Brod</t>
  </si>
  <si>
    <t>Aleš Jambor</t>
  </si>
  <si>
    <t>Celkem</t>
  </si>
  <si>
    <t>Hmotnost (t)</t>
  </si>
  <si>
    <t>Cenová</t>
  </si>
  <si>
    <t>soustava</t>
  </si>
  <si>
    <t>RTS II / 2017</t>
  </si>
  <si>
    <t>RTS II / 2015</t>
  </si>
  <si>
    <t>RTS I / 2013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</si>
  <si>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</si>
  <si>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</si>
  <si>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</si>
  <si>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</si>
  <si>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</si>
  <si>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</si>
  <si>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</si>
  <si>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</si>
  <si>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</si>
  <si>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</si>
  <si>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</si>
  <si>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111_</t>
  </si>
  <si>
    <t>12_</t>
  </si>
  <si>
    <t>13_</t>
  </si>
  <si>
    <t>16_</t>
  </si>
  <si>
    <t>18_</t>
  </si>
  <si>
    <t>27_</t>
  </si>
  <si>
    <t>56_</t>
  </si>
  <si>
    <t>57_</t>
  </si>
  <si>
    <t>59_</t>
  </si>
  <si>
    <t>711_</t>
  </si>
  <si>
    <t>91_</t>
  </si>
  <si>
    <t>97_</t>
  </si>
  <si>
    <t>H22_</t>
  </si>
  <si>
    <t>S_</t>
  </si>
  <si>
    <t>1_</t>
  </si>
  <si>
    <t>2_</t>
  </si>
  <si>
    <t>5_</t>
  </si>
  <si>
    <t>71_</t>
  </si>
  <si>
    <t>9_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</si>
  <si>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</si>
  <si>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</si>
  <si>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</si>
  <si>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</si>
  <si>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</si>
  <si>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</si>
  <si>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</si>
  <si>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</si>
  <si>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</si>
  <si>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</si>
  <si>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</si>
  <si>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</si>
  <si>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</si>
  <si>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</si>
  <si>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</si>
  <si>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</si>
  <si>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</si>
  <si>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</si>
  <si>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</si>
  <si>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</si>
  <si>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</si>
  <si>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</si>
  <si>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</si>
  <si>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</si>
  <si>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</si>
  <si>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</si>
  <si>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</si>
  <si>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</si>
  <si>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</si>
  <si>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</si>
  <si>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</si>
  <si>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</si>
  <si>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</si>
  <si>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</si>
  <si>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</si>
  <si>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</si>
  <si>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</si>
  <si>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</si>
  <si>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</si>
  <si>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</si>
  <si>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</si>
  <si>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</si>
  <si>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</si>
  <si>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</si>
  <si>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</si>
  <si>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</si>
  <si>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</si>
  <si>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</si>
  <si>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</si>
  <si>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</si>
  <si>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</si>
  <si>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U základní školy</t>
  </si>
  <si>
    <t>113107202RA0</t>
  </si>
  <si>
    <t>Odstranění asfaltového krytu tl. 5 cm nad 200 m2</t>
  </si>
  <si>
    <t>113107122R00</t>
  </si>
  <si>
    <t>Odstranění podkladu pl. 200 m2,kam.drcené tl.20 cm (Chodník+komunikace)</t>
  </si>
  <si>
    <t>RTS II / 2014</t>
  </si>
  <si>
    <t>Podklad ze štěrkodrti po zhutnění tloušťky 15 cm (chodník)</t>
  </si>
  <si>
    <t>565141111R00</t>
  </si>
  <si>
    <t>Podklad z obal kam.ACP 16+, do 3 m, tl. 6 cm (komunikace)</t>
  </si>
  <si>
    <t>573111111R00</t>
  </si>
  <si>
    <t>Postřik živičný infiltr.+ posyp, asfalt. 0,60kg/m2</t>
  </si>
  <si>
    <t>Dlažba pro nevidomé feliéfní, šedá, 20x10x6</t>
  </si>
  <si>
    <t>998225111R00</t>
  </si>
  <si>
    <t>Přesun hmot, pozemní komunikace, kryt živičný</t>
  </si>
  <si>
    <t>998225194R00</t>
  </si>
  <si>
    <t>Přesun hmot, komunikace živičné, příplatek do 5 km</t>
  </si>
  <si>
    <t>U ZÁKLADNÍ ŠKOLY A KŘIŽOVATKY UL. ŽITOMÍŘSKÁ A B. SMETANY</t>
  </si>
  <si>
    <t>Rozpočtová rezerva</t>
  </si>
  <si>
    <t>Hlavní krycí list rozpočtu</t>
  </si>
  <si>
    <r>
      <rPr>
        <b/>
        <sz val="16"/>
        <color indexed="10"/>
        <rFont val="Arial"/>
        <family val="2"/>
      </rPr>
      <t>SOMMER PROJEKT, s.r.o.</t>
    </r>
  </si>
  <si>
    <t>Žižkova 278, 282 01 Český Brod</t>
  </si>
  <si>
    <t>tel./fax +420 325 320095, +420 603 811013, e-mail: sommerk@email.cz</t>
  </si>
  <si>
    <t xml:space="preserve">Zpracováno programem firmy SELPO Broumy, tel. 603 525768 </t>
  </si>
  <si>
    <t>Zakázka číslo:</t>
  </si>
  <si>
    <t>Z-2015/0012</t>
  </si>
  <si>
    <t>Název:</t>
  </si>
  <si>
    <t>VO - přechody</t>
  </si>
  <si>
    <t/>
  </si>
  <si>
    <t>ul. Žitomířská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</si>
  <si>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</si>
  <si>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</si>
  <si>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</si>
  <si>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</si>
  <si>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</si>
  <si>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</si>
  <si>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</si>
  <si>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</si>
  <si>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</si>
  <si>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</si>
  <si>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</si>
  <si>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</si>
  <si>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C46M - Zemní práce  -  MONTÁŽ</t>
  </si>
  <si>
    <t>4.</t>
  </si>
  <si>
    <t xml:space="preserve">   Podíl přidružených výkonů 1,60% z C46M</t>
  </si>
  <si>
    <t>5.</t>
  </si>
  <si>
    <t>MATERIÁL</t>
  </si>
  <si>
    <t>6.</t>
  </si>
  <si>
    <t xml:space="preserve">   Podružný materiál 5,00%</t>
  </si>
  <si>
    <t>CELKEM URN</t>
  </si>
  <si>
    <t>B.</t>
  </si>
  <si>
    <t>VEDLEJŠÍ ROZPOČTOVÉ NÁKLADY</t>
  </si>
  <si>
    <t>7.</t>
  </si>
  <si>
    <t>GZS 2,50% z C21M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</si>
  <si>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</si>
  <si>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</si>
  <si>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</si>
  <si>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</si>
  <si>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</si>
  <si>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</si>
  <si>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</si>
  <si>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(*) byl upraven z důvodu zaokrouhlení</t>
  </si>
  <si>
    <t>Děkujeme za Vaši zakázku. Těšíme se na další spolupráci.</t>
  </si>
  <si>
    <t>vypracoval:</t>
  </si>
  <si>
    <t>Karel Sommer</t>
  </si>
  <si>
    <t>e-mail:</t>
  </si>
  <si>
    <t>sommerk@email.cz</t>
  </si>
  <si>
    <t>dne:</t>
  </si>
  <si>
    <t>26.8.2018</t>
  </si>
  <si>
    <t>C21M - Elektromontáže</t>
  </si>
  <si>
    <t>Poř.č.</t>
  </si>
  <si>
    <t>Číslo pol.</t>
  </si>
  <si>
    <t>Cena/jedn. [Kč]</t>
  </si>
  <si>
    <t>Jedn.</t>
  </si>
  <si>
    <t>Celkem [Kč]</t>
  </si>
  <si>
    <t>210010046</t>
  </si>
  <si>
    <t>trubka inst.oheb. KORUFLEX 63 volně</t>
  </si>
  <si>
    <t>8,00</t>
  </si>
  <si>
    <t>210100001</t>
  </si>
  <si>
    <t>ukonč.vod.v rozv.vč.zap.a konc.do 2.5mm2</t>
  </si>
  <si>
    <t>24,00</t>
  </si>
  <si>
    <t>ks</t>
  </si>
  <si>
    <t>210100002</t>
  </si>
  <si>
    <t>ukonč.vod.v rozv.vč.zap.a konc.do 6mm2</t>
  </si>
  <si>
    <t>4,00</t>
  </si>
  <si>
    <t>210100003</t>
  </si>
  <si>
    <t>ukonč.vod.v rozv.vč.zap.a konc.do 16mm2</t>
  </si>
  <si>
    <t>32,00</t>
  </si>
  <si>
    <t>210100252</t>
  </si>
  <si>
    <t>ukonč.kab.smršt.zákl.do 4x25 mm2</t>
  </si>
  <si>
    <t>210102001</t>
  </si>
  <si>
    <t>spojka epoxid. pro celoplast.kab. do 4x25 mm2/1kV</t>
  </si>
  <si>
    <t>2,00</t>
  </si>
  <si>
    <t>210120001</t>
  </si>
  <si>
    <t>pojistka vč. vložek E 27 do 25 A</t>
  </si>
  <si>
    <t>210202011</t>
  </si>
  <si>
    <t>montáž svítidla AMPERA MIDI</t>
  </si>
  <si>
    <t>210204201</t>
  </si>
  <si>
    <t>elektrovýzbroj stožáru pro 1 okruh</t>
  </si>
  <si>
    <t>210220022</t>
  </si>
  <si>
    <t>uzem. v zemi FeZn R=8-10 mm vč.svorek;propoj.aj.</t>
  </si>
  <si>
    <t>10,00</t>
  </si>
  <si>
    <t>210220301</t>
  </si>
  <si>
    <t>svorky hromosvodové do 2 šroubu (SS;SR 03)</t>
  </si>
  <si>
    <t>210220302</t>
  </si>
  <si>
    <t>svorka SP1</t>
  </si>
  <si>
    <t>210800526</t>
  </si>
  <si>
    <t>CY 6 mm2 zelenožlutý (VU)</t>
  </si>
  <si>
    <t>5,00</t>
  </si>
  <si>
    <t>210810005</t>
  </si>
  <si>
    <t>CYKY-CYKYm 3Ax1.5 mm2 750V (VU)</t>
  </si>
  <si>
    <t>210810013</t>
  </si>
  <si>
    <t>CYKY-CYKYm 4Dx10 mm2 750V (VU)</t>
  </si>
  <si>
    <t>210950101</t>
  </si>
  <si>
    <t>označovací štítek na kabel(navíc proti ČSN)</t>
  </si>
  <si>
    <t>32156985</t>
  </si>
  <si>
    <t>montážní plošina</t>
  </si>
  <si>
    <t>1,00</t>
  </si>
  <si>
    <t>45695185</t>
  </si>
  <si>
    <t>výchozí revize</t>
  </si>
  <si>
    <t>852159863</t>
  </si>
  <si>
    <t>montáž výložníku</t>
  </si>
  <si>
    <t>852159865</t>
  </si>
  <si>
    <t xml:space="preserve">montáž sloupu KL6 </t>
  </si>
  <si>
    <t>C46M - Zemní práce</t>
  </si>
  <si>
    <t>460050003</t>
  </si>
  <si>
    <t>jáma pro J stožár jedn.6-8m v rovině zem.tř.3</t>
  </si>
  <si>
    <t>460050602</t>
  </si>
  <si>
    <t>ruční výkop jámy zem.tř.3-4</t>
  </si>
  <si>
    <t>0,55</t>
  </si>
  <si>
    <t>460080002</t>
  </si>
  <si>
    <t>betonový základ do bednění</t>
  </si>
  <si>
    <t>460080101</t>
  </si>
  <si>
    <t>rozbourání betonového základu</t>
  </si>
  <si>
    <t>0,25</t>
  </si>
  <si>
    <t>460100022</t>
  </si>
  <si>
    <t>pouzdrový zákl.pro stožár VO v trase 250x1500mm</t>
  </si>
  <si>
    <t>460120002</t>
  </si>
  <si>
    <t>zához jámy zem.tř. 3-4</t>
  </si>
  <si>
    <t>0,50</t>
  </si>
  <si>
    <t>460200133</t>
  </si>
  <si>
    <t>kabel.rýha 35cm/šíř. 50cm/hl. zem.tř.3</t>
  </si>
  <si>
    <t>460300006</t>
  </si>
  <si>
    <t>hutnění zeminy vrstvy 20cm</t>
  </si>
  <si>
    <t>2,20</t>
  </si>
  <si>
    <t>460420022</t>
  </si>
  <si>
    <t>kabel.lože z kop.písku rýha 65cm tl.10cm</t>
  </si>
  <si>
    <t>460490012</t>
  </si>
  <si>
    <t>fólie výstražná z PVC šířky 33cm</t>
  </si>
  <si>
    <t>460560123</t>
  </si>
  <si>
    <t>ruč.zához.kab.rýhy 35cm šíř.40cm hl.zem.tř.3</t>
  </si>
  <si>
    <t>Materiály</t>
  </si>
  <si>
    <t>00241</t>
  </si>
  <si>
    <t>KORUFLEX 63</t>
  </si>
  <si>
    <t>00906</t>
  </si>
  <si>
    <t>pojistkový dotyk 20A</t>
  </si>
  <si>
    <t>00909</t>
  </si>
  <si>
    <t>pojistková vložka E27/20A</t>
  </si>
  <si>
    <t>01051</t>
  </si>
  <si>
    <t>atyp. výložník</t>
  </si>
  <si>
    <t>01154</t>
  </si>
  <si>
    <t>01403</t>
  </si>
  <si>
    <t>FeZn R=10mm</t>
  </si>
  <si>
    <t>01429</t>
  </si>
  <si>
    <t>01473</t>
  </si>
  <si>
    <t>připojovací svorka SS spojovací pro lana</t>
  </si>
  <si>
    <t>01562</t>
  </si>
  <si>
    <t>spojka epoxidová SVpe 1 1kV</t>
  </si>
  <si>
    <t>02920</t>
  </si>
  <si>
    <t>CYKY 3Ax1.5mm2</t>
  </si>
  <si>
    <t>15100</t>
  </si>
  <si>
    <t>pojistková hlavice 2310-11 E27</t>
  </si>
  <si>
    <t>15101</t>
  </si>
  <si>
    <t>pojistkový spodek 2110-30 E27</t>
  </si>
  <si>
    <t>33736</t>
  </si>
  <si>
    <t>CY  6mm2 zelenožlutý</t>
  </si>
  <si>
    <t>33972</t>
  </si>
  <si>
    <t>CYKY 4Dx10mm2</t>
  </si>
  <si>
    <t>90001</t>
  </si>
  <si>
    <t>kopaný písek</t>
  </si>
  <si>
    <t>90006</t>
  </si>
  <si>
    <t>fólie z polyetylenu šíře 330mm</t>
  </si>
  <si>
    <t>kg</t>
  </si>
  <si>
    <t>90022</t>
  </si>
  <si>
    <t>stožár KL 6 133/60</t>
  </si>
  <si>
    <t>90026</t>
  </si>
  <si>
    <t>svítidlo Schreder AMPERA MIDI</t>
  </si>
  <si>
    <t>Prořez 5,00%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</si>
</sst>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\ &quot;Kč&quot;"/>
    <numFmt numFmtId="167" formatCode="[$-10405]#,##0.00;\-#,##0.00"/>
  </numFmts>
  <fonts count="7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6"/>
      <color indexed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.75"/>
      <color rgb="FF000000"/>
      <name val="Arial"/>
      <family val="2"/>
    </font>
    <font>
      <sz val="8.25"/>
      <color rgb="FF000000"/>
      <name val="Arial"/>
      <family val="2"/>
    </font>
    <font>
      <b/>
      <sz val="8.25"/>
      <color rgb="FF000000"/>
      <name val="Arial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5" fillId="20" borderId="0" applyNumberFormat="0" applyBorder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2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49" fontId="8" fillId="33" borderId="13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10" fillId="34" borderId="32" xfId="0" applyNumberFormat="1" applyFont="1" applyFill="1" applyBorder="1" applyAlignment="1" applyProtection="1">
      <alignment horizontal="center" vertical="center"/>
      <protection/>
    </xf>
    <xf numFmtId="49" fontId="11" fillId="0" borderId="33" xfId="0" applyNumberFormat="1" applyFont="1" applyFill="1" applyBorder="1" applyAlignment="1" applyProtection="1">
      <alignment vertical="center"/>
      <protection/>
    </xf>
    <xf numFmtId="49" fontId="1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2" fillId="0" borderId="3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2" fillId="0" borderId="32" xfId="0" applyNumberFormat="1" applyFont="1" applyFill="1" applyBorder="1" applyAlignment="1" applyProtection="1">
      <alignment horizontal="right" vertical="center"/>
      <protection/>
    </xf>
    <xf numFmtId="49" fontId="12" fillId="0" borderId="32" xfId="0" applyNumberFormat="1" applyFont="1" applyFill="1" applyBorder="1" applyAlignment="1" applyProtection="1">
      <alignment horizontal="right" vertical="center"/>
      <protection/>
    </xf>
    <xf numFmtId="4" fontId="12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1" fillId="0" borderId="15" xfId="0" applyNumberFormat="1" applyFont="1" applyFill="1" applyBorder="1" applyAlignment="1" applyProtection="1">
      <alignment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6" fillId="0" borderId="32" xfId="0" applyNumberFormat="1" applyFont="1" applyFill="1" applyBorder="1" applyAlignment="1" applyProtection="1">
      <alignment horizontal="right" vertical="center"/>
      <protection/>
    </xf>
    <xf numFmtId="4" fontId="15" fillId="34" borderId="37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/>
    </xf>
    <xf numFmtId="0" fontId="17" fillId="0" borderId="38" xfId="46" applyNumberFormat="1" applyFont="1" applyFill="1" applyBorder="1" applyAlignment="1">
      <alignment vertical="top" wrapText="1"/>
      <protection/>
    </xf>
    <xf numFmtId="0" fontId="17" fillId="35" borderId="39" xfId="46" applyNumberFormat="1" applyFont="1" applyFill="1" applyBorder="1" applyAlignment="1">
      <alignment vertical="top" wrapText="1"/>
      <protection/>
    </xf>
    <xf numFmtId="0" fontId="17" fillId="35" borderId="38" xfId="46" applyNumberFormat="1" applyFont="1" applyFill="1" applyBorder="1" applyAlignment="1">
      <alignment vertical="top" wrapText="1"/>
      <protection/>
    </xf>
    <xf numFmtId="0" fontId="17" fillId="35" borderId="40" xfId="46" applyNumberFormat="1" applyFont="1" applyFill="1" applyBorder="1" applyAlignment="1">
      <alignment vertical="top" wrapText="1"/>
      <protection/>
    </xf>
    <xf numFmtId="0" fontId="17" fillId="35" borderId="41" xfId="46" applyNumberFormat="1" applyFont="1" applyFill="1" applyBorder="1" applyAlignment="1">
      <alignment vertical="top" wrapText="1"/>
      <protection/>
    </xf>
    <xf numFmtId="0" fontId="17" fillId="35" borderId="0" xfId="46" applyNumberFormat="1" applyFont="1" applyFill="1" applyBorder="1" applyAlignment="1">
      <alignment vertical="top" wrapText="1"/>
      <protection/>
    </xf>
    <xf numFmtId="0" fontId="17" fillId="35" borderId="42" xfId="46" applyNumberFormat="1" applyFont="1" applyFill="1" applyBorder="1" applyAlignment="1">
      <alignment vertical="top" wrapText="1"/>
      <protection/>
    </xf>
    <xf numFmtId="0" fontId="17" fillId="35" borderId="43" xfId="46" applyNumberFormat="1" applyFont="1" applyFill="1" applyBorder="1" applyAlignment="1">
      <alignment vertical="top" wrapText="1"/>
      <protection/>
    </xf>
    <xf numFmtId="0" fontId="17" fillId="35" borderId="44" xfId="46" applyNumberFormat="1" applyFont="1" applyFill="1" applyBorder="1" applyAlignment="1">
      <alignment vertical="top" wrapText="1"/>
      <protection/>
    </xf>
    <xf numFmtId="0" fontId="17" fillId="35" borderId="45" xfId="46" applyNumberFormat="1" applyFont="1" applyFill="1" applyBorder="1" applyAlignment="1">
      <alignment vertical="top" wrapText="1"/>
      <protection/>
    </xf>
    <xf numFmtId="0" fontId="60" fillId="0" borderId="44" xfId="46" applyNumberFormat="1" applyFont="1" applyFill="1" applyBorder="1" applyAlignment="1">
      <alignment horizontal="right" vertical="top" wrapText="1" readingOrder="1"/>
      <protection/>
    </xf>
    <xf numFmtId="0" fontId="17" fillId="0" borderId="44" xfId="46" applyNumberFormat="1" applyFont="1" applyFill="1" applyBorder="1" applyAlignment="1">
      <alignment vertical="top" wrapText="1"/>
      <protection/>
    </xf>
    <xf numFmtId="166" fontId="60" fillId="0" borderId="44" xfId="46" applyNumberFormat="1" applyFont="1" applyFill="1" applyBorder="1" applyAlignment="1">
      <alignment horizontal="right" vertical="top" wrapText="1" readingOrder="1"/>
      <protection/>
    </xf>
    <xf numFmtId="166" fontId="17" fillId="0" borderId="0" xfId="0" applyNumberFormat="1" applyFont="1" applyFill="1" applyBorder="1" applyAlignment="1">
      <alignment/>
    </xf>
    <xf numFmtId="166" fontId="60" fillId="0" borderId="0" xfId="46" applyNumberFormat="1" applyFont="1" applyFill="1" applyBorder="1" applyAlignment="1">
      <alignment horizontal="right" vertical="top" wrapText="1" readingOrder="1"/>
      <protection/>
    </xf>
    <xf numFmtId="0" fontId="61" fillId="0" borderId="0" xfId="46" applyNumberFormat="1" applyFont="1" applyFill="1" applyBorder="1" applyAlignment="1">
      <alignment horizontal="right" vertical="top" wrapText="1" readingOrder="1"/>
      <protection/>
    </xf>
    <xf numFmtId="0" fontId="61" fillId="0" borderId="0" xfId="46" applyNumberFormat="1" applyFont="1" applyFill="1" applyBorder="1" applyAlignment="1">
      <alignment vertical="top" wrapText="1" readingOrder="1"/>
      <protection/>
    </xf>
    <xf numFmtId="0" fontId="62" fillId="0" borderId="46" xfId="46" applyNumberFormat="1" applyFont="1" applyFill="1" applyBorder="1" applyAlignment="1">
      <alignment horizontal="right" vertical="top" wrapText="1" readingOrder="1"/>
      <protection/>
    </xf>
    <xf numFmtId="0" fontId="62" fillId="0" borderId="46" xfId="46" applyNumberFormat="1" applyFont="1" applyFill="1" applyBorder="1" applyAlignment="1">
      <alignment vertical="top" wrapText="1" readingOrder="1"/>
      <protection/>
    </xf>
    <xf numFmtId="166" fontId="62" fillId="0" borderId="46" xfId="46" applyNumberFormat="1" applyFont="1" applyFill="1" applyBorder="1" applyAlignment="1">
      <alignment vertical="center" readingOrder="1"/>
      <protection/>
    </xf>
    <xf numFmtId="166" fontId="17" fillId="0" borderId="46" xfId="46" applyNumberFormat="1" applyFont="1" applyFill="1" applyBorder="1" applyAlignment="1">
      <alignment vertical="top"/>
      <protection/>
    </xf>
    <xf numFmtId="166" fontId="62" fillId="0" borderId="46" xfId="46" applyNumberFormat="1" applyFont="1" applyFill="1" applyBorder="1" applyAlignment="1">
      <alignment vertical="center" wrapText="1" readingOrder="1"/>
      <protection/>
    </xf>
    <xf numFmtId="166" fontId="17" fillId="0" borderId="46" xfId="46" applyNumberFormat="1" applyFont="1" applyFill="1" applyBorder="1" applyAlignment="1">
      <alignment vertical="top" wrapText="1"/>
      <protection/>
    </xf>
    <xf numFmtId="166" fontId="19" fillId="0" borderId="46" xfId="46" applyNumberFormat="1" applyFont="1" applyFill="1" applyBorder="1" applyAlignment="1">
      <alignment vertical="top" wrapText="1"/>
      <protection/>
    </xf>
    <xf numFmtId="0" fontId="62" fillId="0" borderId="46" xfId="46" applyNumberFormat="1" applyFont="1" applyFill="1" applyBorder="1" applyAlignment="1">
      <alignment horizontal="right" vertical="center" wrapText="1" readingOrder="1"/>
      <protection/>
    </xf>
    <xf numFmtId="0" fontId="62" fillId="0" borderId="46" xfId="46" applyNumberFormat="1" applyFont="1" applyFill="1" applyBorder="1" applyAlignment="1">
      <alignment vertical="center" wrapText="1" readingOrder="1"/>
      <protection/>
    </xf>
    <xf numFmtId="167" fontId="61" fillId="0" borderId="0" xfId="46" applyNumberFormat="1" applyFont="1" applyFill="1" applyBorder="1" applyAlignment="1">
      <alignment horizontal="right" vertical="top" wrapText="1" readingOrder="1"/>
      <protection/>
    </xf>
    <xf numFmtId="166" fontId="19" fillId="0" borderId="46" xfId="46" applyNumberFormat="1" applyFont="1" applyFill="1" applyBorder="1" applyAlignment="1">
      <alignment vertical="top"/>
      <protection/>
    </xf>
    <xf numFmtId="4" fontId="5" fillId="36" borderId="0" xfId="0" applyNumberFormat="1" applyFont="1" applyFill="1" applyBorder="1" applyAlignment="1" applyProtection="1">
      <alignment horizontal="right" vertical="center"/>
      <protection locked="0"/>
    </xf>
    <xf numFmtId="4" fontId="6" fillId="36" borderId="0" xfId="0" applyNumberFormat="1" applyFont="1" applyFill="1" applyBorder="1" applyAlignment="1" applyProtection="1">
      <alignment horizontal="right" vertical="center"/>
      <protection locked="0"/>
    </xf>
    <xf numFmtId="4" fontId="5" fillId="36" borderId="14" xfId="0" applyNumberFormat="1" applyFont="1" applyFill="1" applyBorder="1" applyAlignment="1" applyProtection="1">
      <alignment horizontal="right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 applyProtection="1">
      <alignment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50" xfId="0" applyNumberFormat="1" applyFont="1" applyFill="1" applyBorder="1" applyAlignment="1" applyProtection="1">
      <alignment vertical="center"/>
      <protection/>
    </xf>
    <xf numFmtId="0" fontId="13" fillId="0" borderId="37" xfId="0" applyNumberFormat="1" applyFont="1" applyFill="1" applyBorder="1" applyAlignment="1" applyProtection="1">
      <alignment vertical="center"/>
      <protection/>
    </xf>
    <xf numFmtId="49" fontId="12" fillId="0" borderId="50" xfId="0" applyNumberFormat="1" applyFont="1" applyFill="1" applyBorder="1" applyAlignment="1" applyProtection="1">
      <alignment vertical="center"/>
      <protection/>
    </xf>
    <xf numFmtId="0" fontId="12" fillId="0" borderId="37" xfId="0" applyNumberFormat="1" applyFont="1" applyFill="1" applyBorder="1" applyAlignment="1" applyProtection="1">
      <alignment vertical="center"/>
      <protection/>
    </xf>
    <xf numFmtId="49" fontId="11" fillId="0" borderId="50" xfId="0" applyNumberFormat="1" applyFont="1" applyFill="1" applyBorder="1" applyAlignment="1" applyProtection="1">
      <alignment vertical="center"/>
      <protection/>
    </xf>
    <xf numFmtId="0" fontId="11" fillId="0" borderId="37" xfId="0" applyNumberFormat="1" applyFont="1" applyFill="1" applyBorder="1" applyAlignment="1" applyProtection="1">
      <alignment vertical="center"/>
      <protection/>
    </xf>
    <xf numFmtId="49" fontId="15" fillId="0" borderId="50" xfId="0" applyNumberFormat="1" applyFont="1" applyFill="1" applyBorder="1" applyAlignment="1" applyProtection="1">
      <alignment vertical="center"/>
      <protection/>
    </xf>
    <xf numFmtId="0" fontId="15" fillId="0" borderId="37" xfId="0" applyNumberFormat="1" applyFont="1" applyFill="1" applyBorder="1" applyAlignment="1" applyProtection="1">
      <alignment vertical="center"/>
      <protection/>
    </xf>
    <xf numFmtId="49" fontId="11" fillId="34" borderId="50" xfId="0" applyNumberFormat="1" applyFont="1" applyFill="1" applyBorder="1" applyAlignment="1" applyProtection="1">
      <alignment vertical="center"/>
      <protection/>
    </xf>
    <xf numFmtId="0" fontId="11" fillId="34" borderId="49" xfId="0" applyNumberFormat="1" applyFont="1" applyFill="1" applyBorder="1" applyAlignment="1" applyProtection="1">
      <alignment vertical="center"/>
      <protection/>
    </xf>
    <xf numFmtId="49" fontId="12" fillId="0" borderId="51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2" fillId="0" borderId="52" xfId="0" applyNumberFormat="1" applyFont="1" applyFill="1" applyBorder="1" applyAlignment="1" applyProtection="1">
      <alignment vertical="center"/>
      <protection/>
    </xf>
    <xf numFmtId="49" fontId="12" fillId="0" borderId="2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53" xfId="0" applyNumberFormat="1" applyFont="1" applyFill="1" applyBorder="1" applyAlignment="1" applyProtection="1">
      <alignment vertical="center"/>
      <protection/>
    </xf>
    <xf numFmtId="49" fontId="12" fillId="0" borderId="54" xfId="0" applyNumberFormat="1" applyFont="1" applyFill="1" applyBorder="1" applyAlignment="1" applyProtection="1">
      <alignment vertical="center"/>
      <protection/>
    </xf>
    <xf numFmtId="0" fontId="12" fillId="0" borderId="55" xfId="0" applyNumberFormat="1" applyFont="1" applyFill="1" applyBorder="1" applyAlignment="1" applyProtection="1">
      <alignment vertical="center"/>
      <protection/>
    </xf>
    <xf numFmtId="0" fontId="12" fillId="0" borderId="56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57" xfId="0" applyNumberFormat="1" applyFont="1" applyFill="1" applyBorder="1" applyAlignment="1" applyProtection="1">
      <alignment vertical="center"/>
      <protection/>
    </xf>
    <xf numFmtId="0" fontId="1" fillId="0" borderId="55" xfId="0" applyNumberFormat="1" applyFont="1" applyFill="1" applyBorder="1" applyAlignment="1" applyProtection="1">
      <alignment vertical="center"/>
      <protection/>
    </xf>
    <xf numFmtId="0" fontId="1" fillId="0" borderId="58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36" borderId="0" xfId="0" applyNumberFormat="1" applyFont="1" applyFill="1" applyBorder="1" applyAlignment="1" applyProtection="1">
      <alignment vertical="center" wrapText="1"/>
      <protection locked="0"/>
    </xf>
    <xf numFmtId="0" fontId="1" fillId="36" borderId="0" xfId="0" applyNumberFormat="1" applyFont="1" applyFill="1" applyBorder="1" applyAlignment="1" applyProtection="1">
      <alignment vertical="center"/>
      <protection locked="0"/>
    </xf>
    <xf numFmtId="0" fontId="1" fillId="36" borderId="24" xfId="0" applyNumberFormat="1" applyFont="1" applyFill="1" applyBorder="1" applyAlignment="1" applyProtection="1">
      <alignment vertical="center"/>
      <protection locked="0"/>
    </xf>
    <xf numFmtId="49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61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1" fillId="36" borderId="0" xfId="0" applyNumberFormat="1" applyFont="1" applyFill="1" applyBorder="1" applyAlignment="1" applyProtection="1">
      <alignment vertical="center"/>
      <protection locked="0"/>
    </xf>
    <xf numFmtId="0" fontId="1" fillId="36" borderId="55" xfId="0" applyNumberFormat="1" applyFont="1" applyFill="1" applyBorder="1" applyAlignment="1" applyProtection="1">
      <alignment vertical="center"/>
      <protection locked="0"/>
    </xf>
    <xf numFmtId="0" fontId="1" fillId="36" borderId="58" xfId="0" applyNumberFormat="1" applyFont="1" applyFill="1" applyBorder="1" applyAlignment="1" applyProtection="1">
      <alignment vertical="center"/>
      <protection locked="0"/>
    </xf>
    <xf numFmtId="0" fontId="63" fillId="0" borderId="0" xfId="46" applyNumberFormat="1" applyFont="1" applyFill="1" applyBorder="1" applyAlignment="1">
      <alignment horizontal="center" vertical="top" wrapText="1" readingOrder="1"/>
      <protection/>
    </xf>
    <xf numFmtId="0" fontId="17" fillId="0" borderId="0" xfId="0" applyFont="1" applyFill="1" applyBorder="1" applyAlignment="1">
      <alignment/>
    </xf>
    <xf numFmtId="0" fontId="64" fillId="0" borderId="0" xfId="46" applyNumberFormat="1" applyFont="1" applyFill="1" applyBorder="1" applyAlignment="1">
      <alignment horizontal="center" vertical="top" wrapText="1" readingOrder="1"/>
      <protection/>
    </xf>
    <xf numFmtId="0" fontId="65" fillId="0" borderId="0" xfId="46" applyNumberFormat="1" applyFont="1" applyFill="1" applyBorder="1" applyAlignment="1">
      <alignment horizontal="right" vertical="top" wrapText="1" readingOrder="1"/>
      <protection/>
    </xf>
    <xf numFmtId="0" fontId="66" fillId="35" borderId="0" xfId="46" applyNumberFormat="1" applyFont="1" applyFill="1" applyBorder="1" applyAlignment="1">
      <alignment horizontal="right" vertical="top" wrapText="1" readingOrder="1"/>
      <protection/>
    </xf>
    <xf numFmtId="0" fontId="17" fillId="35" borderId="0" xfId="46" applyNumberFormat="1" applyFont="1" applyFill="1" applyBorder="1" applyAlignment="1">
      <alignment vertical="top" wrapText="1"/>
      <protection/>
    </xf>
    <xf numFmtId="0" fontId="67" fillId="35" borderId="0" xfId="46" applyNumberFormat="1" applyFont="1" applyFill="1" applyBorder="1" applyAlignment="1">
      <alignment vertical="top" wrapText="1" readingOrder="1"/>
      <protection/>
    </xf>
    <xf numFmtId="0" fontId="68" fillId="0" borderId="0" xfId="46" applyNumberFormat="1" applyFont="1" applyFill="1" applyBorder="1" applyAlignment="1">
      <alignment horizontal="center" vertical="top" wrapText="1" readingOrder="1"/>
      <protection/>
    </xf>
    <xf numFmtId="0" fontId="62" fillId="0" borderId="62" xfId="46" applyNumberFormat="1" applyFont="1" applyFill="1" applyBorder="1" applyAlignment="1">
      <alignment horizontal="right" vertical="top" wrapText="1" readingOrder="1"/>
      <protection/>
    </xf>
    <xf numFmtId="0" fontId="17" fillId="0" borderId="62" xfId="46" applyNumberFormat="1" applyFont="1" applyFill="1" applyBorder="1" applyAlignment="1">
      <alignment vertical="top" wrapText="1"/>
      <protection/>
    </xf>
    <xf numFmtId="0" fontId="62" fillId="0" borderId="62" xfId="46" applyNumberFormat="1" applyFont="1" applyFill="1" applyBorder="1" applyAlignment="1">
      <alignment vertical="top" wrapText="1" readingOrder="1"/>
      <protection/>
    </xf>
    <xf numFmtId="0" fontId="62" fillId="0" borderId="0" xfId="46" applyNumberFormat="1" applyFont="1" applyFill="1" applyBorder="1" applyAlignment="1">
      <alignment horizontal="left" vertical="top" wrapText="1" readingOrder="1"/>
      <protection/>
    </xf>
    <xf numFmtId="0" fontId="62" fillId="0" borderId="0" xfId="46" applyNumberFormat="1" applyFont="1" applyFill="1" applyBorder="1" applyAlignment="1">
      <alignment vertical="top" wrapText="1" readingOrder="1"/>
      <protection/>
    </xf>
    <xf numFmtId="0" fontId="62" fillId="0" borderId="0" xfId="46" applyNumberFormat="1" applyFont="1" applyFill="1" applyBorder="1" applyAlignment="1">
      <alignment horizontal="right" vertical="top" wrapText="1" readingOrder="1"/>
      <protection/>
    </xf>
    <xf numFmtId="0" fontId="61" fillId="0" borderId="0" xfId="46" applyNumberFormat="1" applyFont="1" applyFill="1" applyBorder="1" applyAlignment="1">
      <alignment horizontal="right" vertical="top" wrapText="1" readingOrder="1"/>
      <protection/>
    </xf>
    <xf numFmtId="0" fontId="61" fillId="0" borderId="0" xfId="46" applyNumberFormat="1" applyFont="1" applyFill="1" applyBorder="1" applyAlignment="1">
      <alignment vertical="top" wrapText="1" readingOrder="1"/>
      <protection/>
    </xf>
    <xf numFmtId="166" fontId="60" fillId="0" borderId="44" xfId="46" applyNumberFormat="1" applyFont="1" applyFill="1" applyBorder="1" applyAlignment="1">
      <alignment horizontal="right" vertical="top" wrapText="1" readingOrder="1"/>
      <protection/>
    </xf>
    <xf numFmtId="166" fontId="17" fillId="0" borderId="44" xfId="46" applyNumberFormat="1" applyFont="1" applyFill="1" applyBorder="1" applyAlignment="1">
      <alignment vertical="top" wrapText="1"/>
      <protection/>
    </xf>
    <xf numFmtId="0" fontId="62" fillId="0" borderId="62" xfId="46" applyNumberFormat="1" applyFont="1" applyFill="1" applyBorder="1" applyAlignment="1">
      <alignment horizontal="left" vertical="center" wrapText="1" readingOrder="1"/>
      <protection/>
    </xf>
    <xf numFmtId="0" fontId="62" fillId="0" borderId="62" xfId="46" applyNumberFormat="1" applyFont="1" applyFill="1" applyBorder="1" applyAlignment="1">
      <alignment vertical="center" wrapText="1" readingOrder="1"/>
      <protection/>
    </xf>
    <xf numFmtId="0" fontId="62" fillId="0" borderId="62" xfId="46" applyNumberFormat="1" applyFont="1" applyFill="1" applyBorder="1" applyAlignment="1">
      <alignment horizontal="right" vertical="center" wrapText="1" readingOrder="1"/>
      <protection/>
    </xf>
    <xf numFmtId="166" fontId="60" fillId="0" borderId="0" xfId="46" applyNumberFormat="1" applyFont="1" applyFill="1" applyBorder="1" applyAlignment="1">
      <alignment horizontal="right" vertical="top" wrapText="1" readingOrder="1"/>
      <protection/>
    </xf>
    <xf numFmtId="166" fontId="17" fillId="0" borderId="0" xfId="0" applyNumberFormat="1" applyFont="1" applyFill="1" applyBorder="1" applyAlignment="1">
      <alignment/>
    </xf>
    <xf numFmtId="0" fontId="65" fillId="0" borderId="0" xfId="46" applyNumberFormat="1" applyFont="1" applyFill="1" applyBorder="1" applyAlignment="1">
      <alignment vertical="top" wrapText="1" readingOrder="1"/>
      <protection/>
    </xf>
    <xf numFmtId="0" fontId="61" fillId="0" borderId="0" xfId="46" applyNumberFormat="1" applyFont="1" applyFill="1" applyBorder="1" applyAlignment="1">
      <alignment horizontal="left" vertical="top" wrapText="1" readingOrder="1"/>
      <protection/>
    </xf>
    <xf numFmtId="0" fontId="69" fillId="0" borderId="44" xfId="46" applyNumberFormat="1" applyFont="1" applyFill="1" applyBorder="1" applyAlignment="1">
      <alignment vertical="top" wrapText="1" readingOrder="1"/>
      <protection/>
    </xf>
    <xf numFmtId="0" fontId="17" fillId="0" borderId="44" xfId="46" applyNumberFormat="1" applyFont="1" applyFill="1" applyBorder="1" applyAlignment="1">
      <alignment vertical="top" wrapText="1"/>
      <protection/>
    </xf>
    <xf numFmtId="0" fontId="60" fillId="0" borderId="44" xfId="46" applyNumberFormat="1" applyFont="1" applyFill="1" applyBorder="1" applyAlignment="1">
      <alignment horizontal="right" vertical="top" wrapText="1" readingOrder="1"/>
      <protection/>
    </xf>
    <xf numFmtId="0" fontId="60" fillId="0" borderId="0" xfId="46" applyNumberFormat="1" applyFont="1" applyFill="1" applyBorder="1" applyAlignment="1">
      <alignment horizontal="right" vertical="top" wrapText="1" readingOrder="1"/>
      <protection/>
    </xf>
    <xf numFmtId="0" fontId="62" fillId="0" borderId="46" xfId="46" applyNumberFormat="1" applyFont="1" applyFill="1" applyBorder="1" applyAlignment="1">
      <alignment horizontal="right" vertical="top" wrapText="1" readingOrder="1"/>
      <protection/>
    </xf>
    <xf numFmtId="0" fontId="17" fillId="0" borderId="46" xfId="46" applyNumberFormat="1" applyFont="1" applyFill="1" applyBorder="1" applyAlignment="1">
      <alignment vertical="top" wrapText="1"/>
      <protection/>
    </xf>
    <xf numFmtId="0" fontId="62" fillId="0" borderId="46" xfId="46" applyNumberFormat="1" applyFont="1" applyFill="1" applyBorder="1" applyAlignment="1">
      <alignment vertical="top" wrapText="1" readingOrder="1"/>
      <protection/>
    </xf>
    <xf numFmtId="167" fontId="61" fillId="36" borderId="0" xfId="46" applyNumberFormat="1" applyFont="1" applyFill="1" applyBorder="1" applyAlignment="1" applyProtection="1">
      <alignment horizontal="right" vertical="top" wrapText="1" readingOrder="1"/>
      <protection locked="0"/>
    </xf>
    <xf numFmtId="0" fontId="17" fillId="36" borderId="0" xfId="0" applyFont="1" applyFill="1" applyBorder="1" applyAlignment="1" applyProtection="1">
      <alignment/>
      <protection locked="0"/>
    </xf>
    <xf numFmtId="167" fontId="61" fillId="0" borderId="0" xfId="46" applyNumberFormat="1" applyFont="1" applyFill="1" applyBorder="1" applyAlignment="1">
      <alignment horizontal="right" vertical="top" wrapText="1" readingOrder="1"/>
      <protection/>
    </xf>
    <xf numFmtId="0" fontId="62" fillId="0" borderId="46" xfId="46" applyNumberFormat="1" applyFont="1" applyFill="1" applyBorder="1" applyAlignment="1">
      <alignment horizontal="right" vertical="center" wrapText="1" readingOrder="1"/>
      <protection/>
    </xf>
    <xf numFmtId="0" fontId="62" fillId="0" borderId="46" xfId="46" applyNumberFormat="1" applyFont="1" applyFill="1" applyBorder="1" applyAlignment="1">
      <alignment vertical="center" wrapText="1" readingOrder="1"/>
      <protection/>
    </xf>
    <xf numFmtId="167" fontId="60" fillId="0" borderId="0" xfId="46" applyNumberFormat="1" applyFont="1" applyFill="1" applyBorder="1" applyAlignment="1">
      <alignment horizontal="right" vertical="top" wrapText="1" readingOrder="1"/>
      <protection/>
    </xf>
    <xf numFmtId="166" fontId="61" fillId="0" borderId="0" xfId="46" applyNumberFormat="1" applyFont="1" applyFill="1" applyBorder="1" applyAlignment="1">
      <alignment horizontal="right" vertical="top" wrapText="1" readingOrder="1"/>
      <protection/>
    </xf>
    <xf numFmtId="167" fontId="60" fillId="0" borderId="62" xfId="46" applyNumberFormat="1" applyFont="1" applyFill="1" applyBorder="1" applyAlignment="1">
      <alignment horizontal="right" vertical="top" wrapText="1" readingOrder="1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3.8515625" style="0" customWidth="1"/>
    <col min="9" max="9" width="22.8515625" style="0" customWidth="1"/>
  </cols>
  <sheetData>
    <row r="1" spans="1:9" ht="72.75" customHeight="1">
      <c r="A1" s="64"/>
      <c r="B1" s="50"/>
      <c r="C1" s="104" t="s">
        <v>331</v>
      </c>
      <c r="D1" s="105"/>
      <c r="E1" s="105"/>
      <c r="F1" s="105"/>
      <c r="G1" s="105"/>
      <c r="H1" s="105"/>
      <c r="I1" s="105"/>
    </row>
    <row r="2" spans="1:10" ht="12.75">
      <c r="A2" s="106" t="s">
        <v>1</v>
      </c>
      <c r="B2" s="107"/>
      <c r="C2" s="110" t="str">
        <f>'Stavební rozpočet-U ZŠ'!D2</f>
        <v>Stavební úpravy chodníků v ul. Žitomířská, město Český Brod</v>
      </c>
      <c r="D2" s="111"/>
      <c r="E2" s="113" t="s">
        <v>218</v>
      </c>
      <c r="F2" s="113" t="str">
        <f>'Stavební rozpočet-U ZŠ'!J2</f>
        <v>Město Český Brod</v>
      </c>
      <c r="G2" s="107"/>
      <c r="H2" s="113" t="s">
        <v>309</v>
      </c>
      <c r="I2" s="114"/>
      <c r="J2" s="1"/>
    </row>
    <row r="3" spans="1:10" ht="12.75">
      <c r="A3" s="108"/>
      <c r="B3" s="109"/>
      <c r="C3" s="112"/>
      <c r="D3" s="112"/>
      <c r="E3" s="109"/>
      <c r="F3" s="109"/>
      <c r="G3" s="109"/>
      <c r="H3" s="109"/>
      <c r="I3" s="115"/>
      <c r="J3" s="1"/>
    </row>
    <row r="4" spans="1:10" ht="12.75">
      <c r="A4" s="116" t="s">
        <v>2</v>
      </c>
      <c r="B4" s="109"/>
      <c r="C4" s="117" t="str">
        <f>'Stavební rozpočet-U ZŠ'!D4</f>
        <v> </v>
      </c>
      <c r="D4" s="109"/>
      <c r="E4" s="117" t="s">
        <v>219</v>
      </c>
      <c r="F4" s="117" t="str">
        <f>'Stavební rozpočet-U ZŠ'!J4</f>
        <v>Aleš Jambor</v>
      </c>
      <c r="G4" s="109"/>
      <c r="H4" s="117" t="s">
        <v>309</v>
      </c>
      <c r="I4" s="118"/>
      <c r="J4" s="1"/>
    </row>
    <row r="5" spans="1:10" ht="12.75">
      <c r="A5" s="108"/>
      <c r="B5" s="109"/>
      <c r="C5" s="109"/>
      <c r="D5" s="109"/>
      <c r="E5" s="109"/>
      <c r="F5" s="109"/>
      <c r="G5" s="109"/>
      <c r="H5" s="109"/>
      <c r="I5" s="115"/>
      <c r="J5" s="1"/>
    </row>
    <row r="6" spans="1:10" ht="12.75">
      <c r="A6" s="116" t="s">
        <v>3</v>
      </c>
      <c r="B6" s="109"/>
      <c r="C6" s="117" t="s">
        <v>329</v>
      </c>
      <c r="D6" s="109"/>
      <c r="E6" s="117" t="s">
        <v>220</v>
      </c>
      <c r="F6" s="117" t="str">
        <f>'Stavební rozpočet-U ZŠ'!J6</f>
        <v> </v>
      </c>
      <c r="G6" s="109"/>
      <c r="H6" s="117" t="s">
        <v>309</v>
      </c>
      <c r="I6" s="118"/>
      <c r="J6" s="1"/>
    </row>
    <row r="7" spans="1:10" ht="12.75">
      <c r="A7" s="108"/>
      <c r="B7" s="109"/>
      <c r="C7" s="109"/>
      <c r="D7" s="109"/>
      <c r="E7" s="109"/>
      <c r="F7" s="109"/>
      <c r="G7" s="109"/>
      <c r="H7" s="109"/>
      <c r="I7" s="115"/>
      <c r="J7" s="1"/>
    </row>
    <row r="8" spans="1:10" ht="12.75">
      <c r="A8" s="116" t="s">
        <v>201</v>
      </c>
      <c r="B8" s="109"/>
      <c r="C8" s="117" t="str">
        <f>'Stavební rozpočet-U ZŠ'!G4</f>
        <v> </v>
      </c>
      <c r="D8" s="109"/>
      <c r="E8" s="117" t="s">
        <v>202</v>
      </c>
      <c r="F8" s="117" t="str">
        <f>'Stavební rozpočet-U ZŠ'!G6</f>
        <v> </v>
      </c>
      <c r="G8" s="109"/>
      <c r="H8" s="119" t="s">
        <v>310</v>
      </c>
      <c r="I8" s="118" t="s">
        <v>60</v>
      </c>
      <c r="J8" s="1"/>
    </row>
    <row r="9" spans="1:10" ht="12.75">
      <c r="A9" s="108"/>
      <c r="B9" s="109"/>
      <c r="C9" s="109"/>
      <c r="D9" s="109"/>
      <c r="E9" s="109"/>
      <c r="F9" s="109"/>
      <c r="G9" s="109"/>
      <c r="H9" s="109"/>
      <c r="I9" s="115"/>
      <c r="J9" s="1"/>
    </row>
    <row r="10" spans="1:10" ht="12.75">
      <c r="A10" s="116" t="s">
        <v>4</v>
      </c>
      <c r="B10" s="109"/>
      <c r="C10" s="117">
        <f>'Stavební rozpočet-U ZŠ'!D8</f>
        <v>0</v>
      </c>
      <c r="D10" s="109"/>
      <c r="E10" s="117" t="s">
        <v>221</v>
      </c>
      <c r="F10" s="117" t="str">
        <f>'Stavební rozpočet-U ZŠ'!J8</f>
        <v> </v>
      </c>
      <c r="G10" s="109"/>
      <c r="H10" s="119" t="s">
        <v>311</v>
      </c>
      <c r="I10" s="122" t="str">
        <f>'Stavební rozpočet-U ZŠ'!G8</f>
        <v> </v>
      </c>
      <c r="J10" s="1"/>
    </row>
    <row r="11" spans="1:10" ht="12.75">
      <c r="A11" s="120"/>
      <c r="B11" s="121"/>
      <c r="C11" s="121"/>
      <c r="D11" s="121"/>
      <c r="E11" s="121"/>
      <c r="F11" s="121"/>
      <c r="G11" s="121"/>
      <c r="H11" s="121"/>
      <c r="I11" s="123"/>
      <c r="J11" s="1"/>
    </row>
    <row r="12" spans="1:9" ht="23.25" customHeight="1">
      <c r="A12" s="124" t="s">
        <v>269</v>
      </c>
      <c r="B12" s="125"/>
      <c r="C12" s="125"/>
      <c r="D12" s="125"/>
      <c r="E12" s="125"/>
      <c r="F12" s="125"/>
      <c r="G12" s="125"/>
      <c r="H12" s="125"/>
      <c r="I12" s="125"/>
    </row>
    <row r="13" spans="1:10" ht="26.25" customHeight="1">
      <c r="A13" s="52" t="s">
        <v>270</v>
      </c>
      <c r="B13" s="126" t="s">
        <v>282</v>
      </c>
      <c r="C13" s="127"/>
      <c r="D13" s="52" t="s">
        <v>285</v>
      </c>
      <c r="E13" s="126" t="s">
        <v>294</v>
      </c>
      <c r="F13" s="127"/>
      <c r="G13" s="52" t="s">
        <v>295</v>
      </c>
      <c r="H13" s="126" t="s">
        <v>312</v>
      </c>
      <c r="I13" s="127"/>
      <c r="J13" s="1"/>
    </row>
    <row r="14" spans="1:10" ht="15" customHeight="1">
      <c r="A14" s="53" t="s">
        <v>271</v>
      </c>
      <c r="B14" s="57" t="s">
        <v>283</v>
      </c>
      <c r="C14" s="59">
        <f>'Krycí list rozpočtu-U ZŠ'!C14+'Krycí list rozpočtu-KŘ'!C14</f>
        <v>108481.19785294427</v>
      </c>
      <c r="D14" s="128" t="s">
        <v>286</v>
      </c>
      <c r="E14" s="129"/>
      <c r="F14" s="59">
        <v>0</v>
      </c>
      <c r="G14" s="128" t="s">
        <v>296</v>
      </c>
      <c r="H14" s="129"/>
      <c r="I14" s="59">
        <v>0</v>
      </c>
      <c r="J14" s="1"/>
    </row>
    <row r="15" spans="1:10" ht="15" customHeight="1">
      <c r="A15" s="54"/>
      <c r="B15" s="57" t="s">
        <v>222</v>
      </c>
      <c r="C15" s="59">
        <f>'Krycí list rozpočtu-U ZŠ'!C15+'Krycí list rozpočtu-KŘ'!C15</f>
        <v>116790.14214705571</v>
      </c>
      <c r="D15" s="128" t="s">
        <v>287</v>
      </c>
      <c r="E15" s="129"/>
      <c r="F15" s="59">
        <v>0</v>
      </c>
      <c r="G15" s="128" t="s">
        <v>297</v>
      </c>
      <c r="H15" s="129"/>
      <c r="I15" s="59">
        <v>0</v>
      </c>
      <c r="J15" s="1"/>
    </row>
    <row r="16" spans="1:10" ht="15" customHeight="1">
      <c r="A16" s="53" t="s">
        <v>272</v>
      </c>
      <c r="B16" s="57" t="s">
        <v>283</v>
      </c>
      <c r="C16" s="59">
        <f>'Krycí list rozpočtu-U ZŠ'!C16+'Krycí list rozpočtu-KŘ'!C16</f>
        <v>697.6056115695342</v>
      </c>
      <c r="D16" s="128" t="s">
        <v>288</v>
      </c>
      <c r="E16" s="129"/>
      <c r="F16" s="59">
        <v>0</v>
      </c>
      <c r="G16" s="128" t="s">
        <v>298</v>
      </c>
      <c r="H16" s="129"/>
      <c r="I16" s="59">
        <v>0</v>
      </c>
      <c r="J16" s="1"/>
    </row>
    <row r="17" spans="1:10" ht="15" customHeight="1">
      <c r="A17" s="54"/>
      <c r="B17" s="57" t="s">
        <v>222</v>
      </c>
      <c r="C17" s="59">
        <f>'Krycí list rozpočtu-U ZŠ'!C17+'Krycí list rozpočtu-KŘ'!C17</f>
        <v>683.7743884304657</v>
      </c>
      <c r="D17" s="128"/>
      <c r="E17" s="129"/>
      <c r="F17" s="60"/>
      <c r="G17" s="128" t="s">
        <v>299</v>
      </c>
      <c r="H17" s="129"/>
      <c r="I17" s="59">
        <v>0</v>
      </c>
      <c r="J17" s="1"/>
    </row>
    <row r="18" spans="1:10" ht="15" customHeight="1">
      <c r="A18" s="53" t="s">
        <v>273</v>
      </c>
      <c r="B18" s="57" t="s">
        <v>283</v>
      </c>
      <c r="C18" s="59">
        <f>'Krycí list rozpočtu-U ZŠ'!C18+'Krycí list rozpočtu-KŘ'!C18</f>
        <v>0</v>
      </c>
      <c r="D18" s="128"/>
      <c r="E18" s="129"/>
      <c r="F18" s="60"/>
      <c r="G18" s="128" t="s">
        <v>300</v>
      </c>
      <c r="H18" s="129"/>
      <c r="I18" s="59">
        <v>0</v>
      </c>
      <c r="J18" s="1"/>
    </row>
    <row r="19" spans="1:10" ht="15" customHeight="1">
      <c r="A19" s="54"/>
      <c r="B19" s="57" t="s">
        <v>222</v>
      </c>
      <c r="C19" s="59">
        <f>'Krycí list rozpočtu-U ZŠ'!C19+'Krycí list rozpočtu-KŘ'!C19</f>
        <v>0</v>
      </c>
      <c r="D19" s="128"/>
      <c r="E19" s="129"/>
      <c r="F19" s="60"/>
      <c r="G19" s="128" t="s">
        <v>301</v>
      </c>
      <c r="H19" s="129"/>
      <c r="I19" s="59">
        <v>0</v>
      </c>
      <c r="J19" s="1"/>
    </row>
    <row r="20" spans="1:10" ht="15" customHeight="1">
      <c r="A20" s="130" t="s">
        <v>274</v>
      </c>
      <c r="B20" s="131"/>
      <c r="C20" s="59">
        <f>'Krycí list rozpočtu-U ZŠ'!C20+'Krycí list rozpočtu-KŘ'!C20</f>
        <v>0</v>
      </c>
      <c r="D20" s="128"/>
      <c r="E20" s="129"/>
      <c r="F20" s="60"/>
      <c r="G20" s="128"/>
      <c r="H20" s="129"/>
      <c r="I20" s="60"/>
      <c r="J20" s="1"/>
    </row>
    <row r="21" spans="1:10" ht="15" customHeight="1">
      <c r="A21" s="130" t="s">
        <v>275</v>
      </c>
      <c r="B21" s="131"/>
      <c r="C21" s="59">
        <f>'Krycí list rozpočtu-U ZŠ'!C21+'Krycí list rozpočtu-KŘ'!C21</f>
        <v>81336.70999999999</v>
      </c>
      <c r="D21" s="128"/>
      <c r="E21" s="129"/>
      <c r="F21" s="60"/>
      <c r="G21" s="128"/>
      <c r="H21" s="129"/>
      <c r="I21" s="60"/>
      <c r="J21" s="1"/>
    </row>
    <row r="22" spans="1:10" ht="16.5" customHeight="1">
      <c r="A22" s="130" t="s">
        <v>276</v>
      </c>
      <c r="B22" s="131"/>
      <c r="C22" s="59">
        <f>'Krycí list rozpočtu-U ZŠ'!C22+'Krycí list rozpočtu-KŘ'!C22+'Rekapitualce VO'!I41</f>
        <v>454345.45</v>
      </c>
      <c r="D22" s="130" t="s">
        <v>289</v>
      </c>
      <c r="E22" s="131"/>
      <c r="F22" s="59">
        <f>SUM(F14:F21)</f>
        <v>0</v>
      </c>
      <c r="G22" s="130" t="s">
        <v>302</v>
      </c>
      <c r="H22" s="131"/>
      <c r="I22" s="59">
        <f>SUM(I14:I21)</f>
        <v>0</v>
      </c>
      <c r="J22" s="1"/>
    </row>
    <row r="23" spans="1:10" ht="15" customHeight="1" thickBot="1">
      <c r="A23" s="9"/>
      <c r="B23" s="9"/>
      <c r="C23" s="28"/>
      <c r="D23" s="130" t="s">
        <v>290</v>
      </c>
      <c r="E23" s="131"/>
      <c r="F23" s="61">
        <v>0</v>
      </c>
      <c r="G23" s="130" t="s">
        <v>303</v>
      </c>
      <c r="H23" s="131"/>
      <c r="I23" s="59">
        <v>0</v>
      </c>
      <c r="J23" s="1"/>
    </row>
    <row r="24" spans="4:10" ht="15" customHeight="1">
      <c r="D24" s="9"/>
      <c r="E24" s="9"/>
      <c r="F24" s="62"/>
      <c r="G24" s="132" t="s">
        <v>330</v>
      </c>
      <c r="H24" s="133"/>
      <c r="I24" s="70">
        <f>C22*20%</f>
        <v>90869.09000000001</v>
      </c>
      <c r="J24" s="1"/>
    </row>
    <row r="25" spans="6:10" ht="15" customHeight="1">
      <c r="F25" s="29"/>
      <c r="G25" s="130"/>
      <c r="H25" s="131"/>
      <c r="I25" s="59">
        <v>0</v>
      </c>
      <c r="J25" s="1"/>
    </row>
    <row r="26" spans="1:9" ht="12.75">
      <c r="A26" s="50"/>
      <c r="B26" s="50"/>
      <c r="C26" s="50"/>
      <c r="G26" s="9"/>
      <c r="H26" s="9"/>
      <c r="I26" s="9"/>
    </row>
    <row r="27" spans="1:9" ht="15" customHeight="1">
      <c r="A27" s="134" t="s">
        <v>277</v>
      </c>
      <c r="B27" s="135"/>
      <c r="C27" s="63">
        <f>ROUND(SUM('Stavební rozpočet-U ZŠ'!Z12:Z81),0)</f>
        <v>0</v>
      </c>
      <c r="D27" s="51"/>
      <c r="E27" s="50"/>
      <c r="F27" s="50"/>
      <c r="G27" s="50"/>
      <c r="H27" s="50"/>
      <c r="I27" s="50"/>
    </row>
    <row r="28" spans="1:10" ht="15" customHeight="1">
      <c r="A28" s="134" t="s">
        <v>278</v>
      </c>
      <c r="B28" s="135"/>
      <c r="C28" s="63">
        <f>ROUND(SUM('Stavební rozpočet-U ZŠ'!AA12:AA81),0)</f>
        <v>0</v>
      </c>
      <c r="D28" s="134" t="s">
        <v>291</v>
      </c>
      <c r="E28" s="135"/>
      <c r="F28" s="63">
        <f>ROUND(C28*(15/100),2)</f>
        <v>0</v>
      </c>
      <c r="G28" s="134" t="s">
        <v>306</v>
      </c>
      <c r="H28" s="135"/>
      <c r="I28" s="63">
        <f>ROUND(SUM(C27:C29),0)</f>
        <v>545215</v>
      </c>
      <c r="J28" s="1"/>
    </row>
    <row r="29" spans="1:10" ht="15" customHeight="1">
      <c r="A29" s="134" t="s">
        <v>279</v>
      </c>
      <c r="B29" s="135"/>
      <c r="C29" s="71">
        <f>'Krycí list rozpočtu-U ZŠ'!C29+'Krycí list rozpočtu-KŘ'!C29+'Rekapitualce VO'!I41+I24</f>
        <v>545214.54</v>
      </c>
      <c r="D29" s="134" t="s">
        <v>292</v>
      </c>
      <c r="E29" s="135"/>
      <c r="F29" s="63">
        <f>ROUND(C29*(21/100),2)</f>
        <v>114495.05</v>
      </c>
      <c r="G29" s="134" t="s">
        <v>307</v>
      </c>
      <c r="H29" s="135"/>
      <c r="I29" s="63">
        <f>ROUND(SUM(F28:F29)+I28,0)</f>
        <v>659710</v>
      </c>
      <c r="J29" s="1"/>
    </row>
    <row r="30" spans="1:10" s="69" customFormat="1" ht="15" customHeight="1">
      <c r="A30" s="66"/>
      <c r="B30" s="67"/>
      <c r="C30" s="68"/>
      <c r="D30" s="66"/>
      <c r="E30" s="67"/>
      <c r="F30" s="68"/>
      <c r="G30" s="66"/>
      <c r="H30" s="67"/>
      <c r="I30" s="68"/>
      <c r="J30" s="65"/>
    </row>
    <row r="31" spans="1:9" ht="13.5" thickBot="1">
      <c r="A31" s="55"/>
      <c r="B31" s="55"/>
      <c r="C31" s="55"/>
      <c r="D31" s="55"/>
      <c r="E31" s="55"/>
      <c r="F31" s="55"/>
      <c r="G31" s="55"/>
      <c r="H31" s="55"/>
      <c r="I31" s="55"/>
    </row>
    <row r="32" spans="1:10" ht="14.25" customHeight="1">
      <c r="A32" s="136" t="s">
        <v>280</v>
      </c>
      <c r="B32" s="137"/>
      <c r="C32" s="138"/>
      <c r="D32" s="136" t="s">
        <v>293</v>
      </c>
      <c r="E32" s="137"/>
      <c r="F32" s="138"/>
      <c r="G32" s="136" t="s">
        <v>308</v>
      </c>
      <c r="H32" s="137"/>
      <c r="I32" s="138"/>
      <c r="J32" s="35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5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5"/>
    </row>
    <row r="35" spans="1:10" ht="14.25" customHeight="1">
      <c r="A35" s="139"/>
      <c r="B35" s="140"/>
      <c r="C35" s="141"/>
      <c r="D35" s="139"/>
      <c r="E35" s="140"/>
      <c r="F35" s="141"/>
      <c r="G35" s="139"/>
      <c r="H35" s="140"/>
      <c r="I35" s="141"/>
      <c r="J35" s="35"/>
    </row>
    <row r="36" spans="1:10" ht="14.25" customHeight="1" thickBot="1">
      <c r="A36" s="142" t="s">
        <v>281</v>
      </c>
      <c r="B36" s="143"/>
      <c r="C36" s="144"/>
      <c r="D36" s="142" t="s">
        <v>281</v>
      </c>
      <c r="E36" s="143"/>
      <c r="F36" s="144"/>
      <c r="G36" s="142" t="s">
        <v>281</v>
      </c>
      <c r="H36" s="143"/>
      <c r="I36" s="144"/>
      <c r="J36" s="35"/>
    </row>
    <row r="37" spans="1:9" ht="11.25" customHeight="1">
      <c r="A37" s="56" t="s">
        <v>62</v>
      </c>
      <c r="B37" s="58"/>
      <c r="C37" s="58"/>
      <c r="D37" s="58"/>
      <c r="E37" s="58"/>
      <c r="F37" s="58"/>
      <c r="G37" s="58"/>
      <c r="H37" s="58"/>
      <c r="I37" s="58"/>
    </row>
  </sheetData>
  <sheetProtection password="CB35" sheet="1"/>
  <mergeCells count="82">
    <mergeCell ref="A35:C35"/>
    <mergeCell ref="D35:F35"/>
    <mergeCell ref="G35:I35"/>
    <mergeCell ref="A36:C36"/>
    <mergeCell ref="D36:F36"/>
    <mergeCell ref="G36:I36"/>
    <mergeCell ref="A33:C33"/>
    <mergeCell ref="D33:F33"/>
    <mergeCell ref="G33:I33"/>
    <mergeCell ref="A34:C34"/>
    <mergeCell ref="D34:F34"/>
    <mergeCell ref="G34:I34"/>
    <mergeCell ref="A29:B29"/>
    <mergeCell ref="D29:E29"/>
    <mergeCell ref="G29:H29"/>
    <mergeCell ref="A32:C32"/>
    <mergeCell ref="D32:F32"/>
    <mergeCell ref="G32:I32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4"/>
      <c r="B1" s="50"/>
      <c r="C1" s="104" t="s">
        <v>284</v>
      </c>
      <c r="D1" s="105"/>
      <c r="E1" s="105"/>
      <c r="F1" s="105"/>
      <c r="G1" s="105"/>
      <c r="H1" s="105"/>
      <c r="I1" s="105"/>
    </row>
    <row r="2" spans="1:10" ht="12.75">
      <c r="A2" s="106" t="s">
        <v>1</v>
      </c>
      <c r="B2" s="107"/>
      <c r="C2" s="110" t="str">
        <f>'Stavební rozpočet-U ZŠ'!D2</f>
        <v>Stavební úpravy chodníků v ul. Žitomířská, město Český Brod</v>
      </c>
      <c r="D2" s="111"/>
      <c r="E2" s="113" t="s">
        <v>218</v>
      </c>
      <c r="F2" s="113" t="str">
        <f>'Stavební rozpočet-U ZŠ'!J2</f>
        <v>Město Český Brod</v>
      </c>
      <c r="G2" s="107"/>
      <c r="H2" s="113" t="s">
        <v>309</v>
      </c>
      <c r="I2" s="114"/>
      <c r="J2" s="1"/>
    </row>
    <row r="3" spans="1:10" ht="12.75">
      <c r="A3" s="108"/>
      <c r="B3" s="109"/>
      <c r="C3" s="112"/>
      <c r="D3" s="112"/>
      <c r="E3" s="109"/>
      <c r="F3" s="109"/>
      <c r="G3" s="109"/>
      <c r="H3" s="109"/>
      <c r="I3" s="115"/>
      <c r="J3" s="1"/>
    </row>
    <row r="4" spans="1:10" ht="12.75">
      <c r="A4" s="116" t="s">
        <v>2</v>
      </c>
      <c r="B4" s="109"/>
      <c r="C4" s="117" t="str">
        <f>'Stavební rozpočet-U ZŠ'!D4</f>
        <v> </v>
      </c>
      <c r="D4" s="109"/>
      <c r="E4" s="117" t="s">
        <v>219</v>
      </c>
      <c r="F4" s="117" t="str">
        <f>'Stavební rozpočet-U ZŠ'!J4</f>
        <v>Aleš Jambor</v>
      </c>
      <c r="G4" s="109"/>
      <c r="H4" s="117" t="s">
        <v>309</v>
      </c>
      <c r="I4" s="118"/>
      <c r="J4" s="1"/>
    </row>
    <row r="5" spans="1:10" ht="12.75">
      <c r="A5" s="108"/>
      <c r="B5" s="109"/>
      <c r="C5" s="109"/>
      <c r="D5" s="109"/>
      <c r="E5" s="109"/>
      <c r="F5" s="109"/>
      <c r="G5" s="109"/>
      <c r="H5" s="109"/>
      <c r="I5" s="115"/>
      <c r="J5" s="1"/>
    </row>
    <row r="6" spans="1:10" ht="12.75">
      <c r="A6" s="116" t="s">
        <v>3</v>
      </c>
      <c r="B6" s="109"/>
      <c r="C6" s="117" t="str">
        <f>'Stavební rozpočet-U ZŠ'!D6</f>
        <v>U základní školy</v>
      </c>
      <c r="D6" s="109"/>
      <c r="E6" s="117" t="s">
        <v>220</v>
      </c>
      <c r="F6" s="117" t="str">
        <f>'Stavební rozpočet-U ZŠ'!J6</f>
        <v> </v>
      </c>
      <c r="G6" s="109"/>
      <c r="H6" s="117" t="s">
        <v>309</v>
      </c>
      <c r="I6" s="118"/>
      <c r="J6" s="1"/>
    </row>
    <row r="7" spans="1:10" ht="12.75">
      <c r="A7" s="108"/>
      <c r="B7" s="109"/>
      <c r="C7" s="109"/>
      <c r="D7" s="109"/>
      <c r="E7" s="109"/>
      <c r="F7" s="109"/>
      <c r="G7" s="109"/>
      <c r="H7" s="109"/>
      <c r="I7" s="115"/>
      <c r="J7" s="1"/>
    </row>
    <row r="8" spans="1:10" ht="12.75">
      <c r="A8" s="116" t="s">
        <v>201</v>
      </c>
      <c r="B8" s="109"/>
      <c r="C8" s="117" t="str">
        <f>'Stavební rozpočet-U ZŠ'!G4</f>
        <v> </v>
      </c>
      <c r="D8" s="109"/>
      <c r="E8" s="117" t="s">
        <v>202</v>
      </c>
      <c r="F8" s="117" t="str">
        <f>'Stavební rozpočet-U ZŠ'!G6</f>
        <v> </v>
      </c>
      <c r="G8" s="109"/>
      <c r="H8" s="119" t="s">
        <v>310</v>
      </c>
      <c r="I8" s="118" t="s">
        <v>60</v>
      </c>
      <c r="J8" s="1"/>
    </row>
    <row r="9" spans="1:10" ht="12.75">
      <c r="A9" s="108"/>
      <c r="B9" s="109"/>
      <c r="C9" s="109"/>
      <c r="D9" s="109"/>
      <c r="E9" s="109"/>
      <c r="F9" s="109"/>
      <c r="G9" s="109"/>
      <c r="H9" s="109"/>
      <c r="I9" s="115"/>
      <c r="J9" s="1"/>
    </row>
    <row r="10" spans="1:10" ht="12.75">
      <c r="A10" s="116" t="s">
        <v>4</v>
      </c>
      <c r="B10" s="109"/>
      <c r="C10" s="117">
        <f>'Stavební rozpočet-U ZŠ'!D8</f>
        <v>0</v>
      </c>
      <c r="D10" s="109"/>
      <c r="E10" s="117" t="s">
        <v>221</v>
      </c>
      <c r="F10" s="117" t="str">
        <f>'Stavební rozpočet-U ZŠ'!J8</f>
        <v> </v>
      </c>
      <c r="G10" s="109"/>
      <c r="H10" s="119" t="s">
        <v>311</v>
      </c>
      <c r="I10" s="122" t="str">
        <f>'Stavební rozpočet-U ZŠ'!G8</f>
        <v> </v>
      </c>
      <c r="J10" s="1"/>
    </row>
    <row r="11" spans="1:10" ht="12.75">
      <c r="A11" s="120"/>
      <c r="B11" s="121"/>
      <c r="C11" s="121"/>
      <c r="D11" s="121"/>
      <c r="E11" s="121"/>
      <c r="F11" s="121"/>
      <c r="G11" s="121"/>
      <c r="H11" s="121"/>
      <c r="I11" s="123"/>
      <c r="J11" s="1"/>
    </row>
    <row r="12" spans="1:9" ht="23.25" customHeight="1">
      <c r="A12" s="124" t="s">
        <v>269</v>
      </c>
      <c r="B12" s="125"/>
      <c r="C12" s="125"/>
      <c r="D12" s="125"/>
      <c r="E12" s="125"/>
      <c r="F12" s="125"/>
      <c r="G12" s="125"/>
      <c r="H12" s="125"/>
      <c r="I12" s="125"/>
    </row>
    <row r="13" spans="1:10" ht="26.25" customHeight="1">
      <c r="A13" s="52" t="s">
        <v>270</v>
      </c>
      <c r="B13" s="126" t="s">
        <v>282</v>
      </c>
      <c r="C13" s="127"/>
      <c r="D13" s="52" t="s">
        <v>285</v>
      </c>
      <c r="E13" s="126" t="s">
        <v>294</v>
      </c>
      <c r="F13" s="127"/>
      <c r="G13" s="52" t="s">
        <v>295</v>
      </c>
      <c r="H13" s="126" t="s">
        <v>312</v>
      </c>
      <c r="I13" s="127"/>
      <c r="J13" s="1"/>
    </row>
    <row r="14" spans="1:10" ht="15" customHeight="1">
      <c r="A14" s="53" t="s">
        <v>271</v>
      </c>
      <c r="B14" s="57" t="s">
        <v>283</v>
      </c>
      <c r="C14" s="59">
        <f>SUM('Stavební rozpočet-U ZŠ'!R12:R81)</f>
        <v>39046.863758468025</v>
      </c>
      <c r="D14" s="128" t="s">
        <v>286</v>
      </c>
      <c r="E14" s="129"/>
      <c r="F14" s="59">
        <v>0</v>
      </c>
      <c r="G14" s="128" t="s">
        <v>296</v>
      </c>
      <c r="H14" s="129"/>
      <c r="I14" s="59">
        <v>0</v>
      </c>
      <c r="J14" s="1"/>
    </row>
    <row r="15" spans="1:10" ht="15" customHeight="1">
      <c r="A15" s="54"/>
      <c r="B15" s="57" t="s">
        <v>222</v>
      </c>
      <c r="C15" s="59">
        <f>SUM('Stavební rozpočet-U ZŠ'!S12:S81)</f>
        <v>46120.00624153198</v>
      </c>
      <c r="D15" s="128" t="s">
        <v>287</v>
      </c>
      <c r="E15" s="129"/>
      <c r="F15" s="59">
        <v>0</v>
      </c>
      <c r="G15" s="128" t="s">
        <v>297</v>
      </c>
      <c r="H15" s="129"/>
      <c r="I15" s="59">
        <v>0</v>
      </c>
      <c r="J15" s="1"/>
    </row>
    <row r="16" spans="1:10" ht="15" customHeight="1">
      <c r="A16" s="53" t="s">
        <v>272</v>
      </c>
      <c r="B16" s="57" t="s">
        <v>283</v>
      </c>
      <c r="C16" s="59">
        <f>SUM('Stavební rozpočet-U ZŠ'!T12:T81)</f>
        <v>77.71827586206899</v>
      </c>
      <c r="D16" s="128" t="s">
        <v>288</v>
      </c>
      <c r="E16" s="129"/>
      <c r="F16" s="59">
        <v>0</v>
      </c>
      <c r="G16" s="128" t="s">
        <v>298</v>
      </c>
      <c r="H16" s="129"/>
      <c r="I16" s="59">
        <v>0</v>
      </c>
      <c r="J16" s="1"/>
    </row>
    <row r="17" spans="1:10" ht="15" customHeight="1">
      <c r="A17" s="54"/>
      <c r="B17" s="57" t="s">
        <v>222</v>
      </c>
      <c r="C17" s="59">
        <f>SUM('Stavební rozpočet-U ZŠ'!U12:U81)</f>
        <v>76.28172413793101</v>
      </c>
      <c r="D17" s="128"/>
      <c r="E17" s="129"/>
      <c r="F17" s="60"/>
      <c r="G17" s="128" t="s">
        <v>299</v>
      </c>
      <c r="H17" s="129"/>
      <c r="I17" s="59">
        <v>0</v>
      </c>
      <c r="J17" s="1"/>
    </row>
    <row r="18" spans="1:10" ht="15" customHeight="1">
      <c r="A18" s="53" t="s">
        <v>273</v>
      </c>
      <c r="B18" s="57" t="s">
        <v>283</v>
      </c>
      <c r="C18" s="59">
        <f>SUM('Stavební rozpočet-U ZŠ'!V12:V81)</f>
        <v>0</v>
      </c>
      <c r="D18" s="128"/>
      <c r="E18" s="129"/>
      <c r="F18" s="60"/>
      <c r="G18" s="128" t="s">
        <v>300</v>
      </c>
      <c r="H18" s="129"/>
      <c r="I18" s="59">
        <v>0</v>
      </c>
      <c r="J18" s="1"/>
    </row>
    <row r="19" spans="1:10" ht="15" customHeight="1">
      <c r="A19" s="54"/>
      <c r="B19" s="57" t="s">
        <v>222</v>
      </c>
      <c r="C19" s="59">
        <f>SUM('Stavební rozpočet-U ZŠ'!W12:W81)</f>
        <v>0</v>
      </c>
      <c r="D19" s="128"/>
      <c r="E19" s="129"/>
      <c r="F19" s="60"/>
      <c r="G19" s="128" t="s">
        <v>301</v>
      </c>
      <c r="H19" s="129"/>
      <c r="I19" s="59">
        <v>0</v>
      </c>
      <c r="J19" s="1"/>
    </row>
    <row r="20" spans="1:10" ht="15" customHeight="1">
      <c r="A20" s="130" t="s">
        <v>274</v>
      </c>
      <c r="B20" s="131"/>
      <c r="C20" s="59">
        <f>SUM('Stavební rozpočet-U ZŠ'!X12:X81)</f>
        <v>0</v>
      </c>
      <c r="D20" s="128"/>
      <c r="E20" s="129"/>
      <c r="F20" s="60"/>
      <c r="G20" s="128"/>
      <c r="H20" s="129"/>
      <c r="I20" s="60"/>
      <c r="J20" s="1"/>
    </row>
    <row r="21" spans="1:10" ht="15" customHeight="1">
      <c r="A21" s="130" t="s">
        <v>275</v>
      </c>
      <c r="B21" s="131"/>
      <c r="C21" s="59">
        <f>SUM('Stavební rozpočet-U ZŠ'!P12:P81)</f>
        <v>10849.529999999999</v>
      </c>
      <c r="D21" s="128"/>
      <c r="E21" s="129"/>
      <c r="F21" s="60"/>
      <c r="G21" s="128"/>
      <c r="H21" s="129"/>
      <c r="I21" s="60"/>
      <c r="J21" s="1"/>
    </row>
    <row r="22" spans="1:10" ht="16.5" customHeight="1">
      <c r="A22" s="130" t="s">
        <v>276</v>
      </c>
      <c r="B22" s="131"/>
      <c r="C22" s="59">
        <f>ROUND(SUM(C14:C21),0)</f>
        <v>96170</v>
      </c>
      <c r="D22" s="130" t="s">
        <v>289</v>
      </c>
      <c r="E22" s="131"/>
      <c r="F22" s="59">
        <f>SUM(F14:F21)</f>
        <v>0</v>
      </c>
      <c r="G22" s="130" t="s">
        <v>302</v>
      </c>
      <c r="H22" s="131"/>
      <c r="I22" s="59">
        <f>SUM(I14:I21)</f>
        <v>0</v>
      </c>
      <c r="J22" s="1"/>
    </row>
    <row r="23" spans="1:10" ht="15" customHeight="1" thickBot="1">
      <c r="A23" s="9"/>
      <c r="B23" s="9"/>
      <c r="C23" s="28"/>
      <c r="D23" s="130" t="s">
        <v>290</v>
      </c>
      <c r="E23" s="131"/>
      <c r="F23" s="61">
        <v>0</v>
      </c>
      <c r="G23" s="130" t="s">
        <v>303</v>
      </c>
      <c r="H23" s="131"/>
      <c r="I23" s="59">
        <v>0</v>
      </c>
      <c r="J23" s="1"/>
    </row>
    <row r="24" spans="4:10" ht="15" customHeight="1">
      <c r="D24" s="9"/>
      <c r="E24" s="9"/>
      <c r="F24" s="62"/>
      <c r="G24" s="130" t="s">
        <v>304</v>
      </c>
      <c r="H24" s="131"/>
      <c r="I24" s="59">
        <v>0</v>
      </c>
      <c r="J24" s="1"/>
    </row>
    <row r="25" spans="6:10" ht="15" customHeight="1">
      <c r="F25" s="29"/>
      <c r="G25" s="130" t="s">
        <v>305</v>
      </c>
      <c r="H25" s="131"/>
      <c r="I25" s="59">
        <v>0</v>
      </c>
      <c r="J25" s="1"/>
    </row>
    <row r="26" spans="1:9" ht="12.75">
      <c r="A26" s="50"/>
      <c r="B26" s="50"/>
      <c r="C26" s="50"/>
      <c r="G26" s="9"/>
      <c r="H26" s="9"/>
      <c r="I26" s="9"/>
    </row>
    <row r="27" spans="1:9" ht="15" customHeight="1">
      <c r="A27" s="134" t="s">
        <v>277</v>
      </c>
      <c r="B27" s="135"/>
      <c r="C27" s="63">
        <f>ROUND(SUM('Stavební rozpočet-U ZŠ'!Z12:Z81),0)</f>
        <v>0</v>
      </c>
      <c r="D27" s="51"/>
      <c r="E27" s="50"/>
      <c r="F27" s="50"/>
      <c r="G27" s="50"/>
      <c r="H27" s="50"/>
      <c r="I27" s="50"/>
    </row>
    <row r="28" spans="1:10" ht="15" customHeight="1">
      <c r="A28" s="134" t="s">
        <v>278</v>
      </c>
      <c r="B28" s="135"/>
      <c r="C28" s="63">
        <f>ROUND(SUM('Stavební rozpočet-U ZŠ'!AA12:AA81),0)</f>
        <v>0</v>
      </c>
      <c r="D28" s="134" t="s">
        <v>291</v>
      </c>
      <c r="E28" s="135"/>
      <c r="F28" s="63">
        <f>ROUND(C28*(15/100),2)</f>
        <v>0</v>
      </c>
      <c r="G28" s="134" t="s">
        <v>306</v>
      </c>
      <c r="H28" s="135"/>
      <c r="I28" s="63">
        <f>ROUND(SUM(C27:C29),0)</f>
        <v>96170</v>
      </c>
      <c r="J28" s="1"/>
    </row>
    <row r="29" spans="1:10" ht="15" customHeight="1">
      <c r="A29" s="134" t="s">
        <v>279</v>
      </c>
      <c r="B29" s="135"/>
      <c r="C29" s="63">
        <f>ROUND(SUM('Stavební rozpočet-U ZŠ'!AB12:AB81)+(F22+I22+F23+I23+I24+I25),0)</f>
        <v>96170</v>
      </c>
      <c r="D29" s="134" t="s">
        <v>292</v>
      </c>
      <c r="E29" s="135"/>
      <c r="F29" s="63">
        <f>ROUND(C29*(21/100),2)</f>
        <v>20195.7</v>
      </c>
      <c r="G29" s="134" t="s">
        <v>307</v>
      </c>
      <c r="H29" s="135"/>
      <c r="I29" s="63">
        <f>ROUND(SUM(F28:F29)+I28,0)</f>
        <v>116366</v>
      </c>
      <c r="J29" s="1"/>
    </row>
    <row r="30" spans="1:9" ht="13.5" thickBot="1">
      <c r="A30" s="55"/>
      <c r="B30" s="55"/>
      <c r="C30" s="55"/>
      <c r="D30" s="55"/>
      <c r="E30" s="55"/>
      <c r="F30" s="55"/>
      <c r="G30" s="55"/>
      <c r="H30" s="55"/>
      <c r="I30" s="55"/>
    </row>
    <row r="31" spans="1:10" ht="14.25" customHeight="1">
      <c r="A31" s="136" t="s">
        <v>280</v>
      </c>
      <c r="B31" s="137"/>
      <c r="C31" s="138"/>
      <c r="D31" s="136" t="s">
        <v>293</v>
      </c>
      <c r="E31" s="137"/>
      <c r="F31" s="138"/>
      <c r="G31" s="136" t="s">
        <v>308</v>
      </c>
      <c r="H31" s="137"/>
      <c r="I31" s="138"/>
      <c r="J31" s="35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35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5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5"/>
    </row>
    <row r="35" spans="1:10" ht="14.25" customHeight="1" thickBot="1">
      <c r="A35" s="142" t="s">
        <v>281</v>
      </c>
      <c r="B35" s="143"/>
      <c r="C35" s="144"/>
      <c r="D35" s="142" t="s">
        <v>281</v>
      </c>
      <c r="E35" s="143"/>
      <c r="F35" s="144"/>
      <c r="G35" s="142" t="s">
        <v>281</v>
      </c>
      <c r="H35" s="143"/>
      <c r="I35" s="144"/>
      <c r="J35" s="35"/>
    </row>
    <row r="36" spans="1:9" ht="11.25" customHeight="1">
      <c r="A36" s="56" t="s">
        <v>62</v>
      </c>
      <c r="B36" s="58"/>
      <c r="C36" s="58"/>
      <c r="D36" s="58"/>
      <c r="E36" s="58"/>
      <c r="F36" s="58"/>
      <c r="G36" s="58"/>
      <c r="H36" s="58"/>
      <c r="I36" s="58"/>
    </row>
  </sheetData>
  <sheetProtection password="CB35" sheet="1"/>
  <mergeCells count="82"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pane ySplit="10" topLeftCell="A11" activePane="bottomLeft" state="frozen"/>
      <selection pane="topLeft" activeCell="AX25" sqref="AX25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45" t="s">
        <v>263</v>
      </c>
      <c r="B1" s="146"/>
      <c r="C1" s="146"/>
      <c r="D1" s="146"/>
      <c r="E1" s="146"/>
      <c r="F1" s="146"/>
      <c r="G1" s="146"/>
    </row>
    <row r="2" spans="1:8" ht="12.75">
      <c r="A2" s="106" t="s">
        <v>1</v>
      </c>
      <c r="B2" s="110" t="str">
        <f>'Stavební rozpočet-U ZŠ'!D2</f>
        <v>Stavební úpravy chodníků v ul. Žitomířská, město Český Brod</v>
      </c>
      <c r="C2" s="111"/>
      <c r="D2" s="113" t="s">
        <v>218</v>
      </c>
      <c r="E2" s="113" t="str">
        <f>'Stavební rozpočet-U ZŠ'!J2</f>
        <v>Město Český Brod</v>
      </c>
      <c r="F2" s="107"/>
      <c r="G2" s="147"/>
      <c r="H2" s="1"/>
    </row>
    <row r="3" spans="1:8" ht="12.75">
      <c r="A3" s="108"/>
      <c r="B3" s="112"/>
      <c r="C3" s="112"/>
      <c r="D3" s="109"/>
      <c r="E3" s="109"/>
      <c r="F3" s="109"/>
      <c r="G3" s="115"/>
      <c r="H3" s="1"/>
    </row>
    <row r="4" spans="1:8" ht="12.75">
      <c r="A4" s="116" t="s">
        <v>2</v>
      </c>
      <c r="B4" s="117" t="str">
        <f>'Stavební rozpočet-U ZŠ'!D4</f>
        <v> </v>
      </c>
      <c r="C4" s="109"/>
      <c r="D4" s="117" t="s">
        <v>219</v>
      </c>
      <c r="E4" s="117" t="str">
        <f>'Stavební rozpočet-U ZŠ'!J4</f>
        <v>Aleš Jambor</v>
      </c>
      <c r="F4" s="109"/>
      <c r="G4" s="115"/>
      <c r="H4" s="1"/>
    </row>
    <row r="5" spans="1:8" ht="12.75">
      <c r="A5" s="108"/>
      <c r="B5" s="109"/>
      <c r="C5" s="109"/>
      <c r="D5" s="109"/>
      <c r="E5" s="109"/>
      <c r="F5" s="109"/>
      <c r="G5" s="115"/>
      <c r="H5" s="1"/>
    </row>
    <row r="6" spans="1:8" ht="12.75">
      <c r="A6" s="116" t="s">
        <v>3</v>
      </c>
      <c r="B6" s="117" t="str">
        <f>'Stavební rozpočet-U ZŠ'!D6</f>
        <v>U základní školy</v>
      </c>
      <c r="C6" s="109"/>
      <c r="D6" s="117" t="s">
        <v>220</v>
      </c>
      <c r="E6" s="117" t="str">
        <f>'Stavební rozpočet-U ZŠ'!J6</f>
        <v> </v>
      </c>
      <c r="F6" s="109"/>
      <c r="G6" s="115"/>
      <c r="H6" s="1"/>
    </row>
    <row r="7" spans="1:8" ht="12.75">
      <c r="A7" s="108"/>
      <c r="B7" s="109"/>
      <c r="C7" s="109"/>
      <c r="D7" s="109"/>
      <c r="E7" s="109"/>
      <c r="F7" s="109"/>
      <c r="G7" s="115"/>
      <c r="H7" s="1"/>
    </row>
    <row r="8" spans="1:8" ht="12.75">
      <c r="A8" s="116" t="s">
        <v>221</v>
      </c>
      <c r="B8" s="117" t="str">
        <f>'Stavební rozpočet-U ZŠ'!J8</f>
        <v> </v>
      </c>
      <c r="C8" s="109"/>
      <c r="D8" s="119" t="s">
        <v>203</v>
      </c>
      <c r="E8" s="117" t="str">
        <f>'Stavební rozpočet-U ZŠ'!G8</f>
        <v> </v>
      </c>
      <c r="F8" s="109"/>
      <c r="G8" s="115"/>
      <c r="H8" s="1"/>
    </row>
    <row r="9" spans="1:8" ht="13.5" thickBot="1">
      <c r="A9" s="148"/>
      <c r="B9" s="149"/>
      <c r="C9" s="149"/>
      <c r="D9" s="149"/>
      <c r="E9" s="149"/>
      <c r="F9" s="149"/>
      <c r="G9" s="150"/>
      <c r="H9" s="1"/>
    </row>
    <row r="10" spans="1:8" ht="13.5" thickBot="1">
      <c r="A10" s="41" t="s">
        <v>63</v>
      </c>
      <c r="B10" s="43" t="s">
        <v>64</v>
      </c>
      <c r="C10" s="44" t="s">
        <v>129</v>
      </c>
      <c r="D10" s="45" t="s">
        <v>264</v>
      </c>
      <c r="E10" s="45" t="s">
        <v>265</v>
      </c>
      <c r="F10" s="45" t="s">
        <v>266</v>
      </c>
      <c r="G10" s="47" t="s">
        <v>267</v>
      </c>
      <c r="H10" s="35"/>
    </row>
    <row r="11" spans="1:9" ht="12.75">
      <c r="A11" s="42"/>
      <c r="B11" s="42" t="s">
        <v>65</v>
      </c>
      <c r="C11" s="42" t="s">
        <v>131</v>
      </c>
      <c r="D11" s="48">
        <f>'Stavební rozpočet-U ZŠ'!H12</f>
        <v>0</v>
      </c>
      <c r="E11" s="48">
        <f>'Stavební rozpočet-U ZŠ'!I12</f>
        <v>14630</v>
      </c>
      <c r="F11" s="48">
        <f aca="true" t="shared" si="0" ref="F11:F26">D11+E11</f>
        <v>14630</v>
      </c>
      <c r="G11" s="48">
        <f>'Stavební rozpočet-U ZŠ'!L12</f>
        <v>0</v>
      </c>
      <c r="H11" s="36" t="s">
        <v>268</v>
      </c>
      <c r="I11" s="36">
        <f aca="true" t="shared" si="1" ref="I11:I26">IF(H11="F",0,F11)</f>
        <v>14630</v>
      </c>
    </row>
    <row r="12" spans="1:9" ht="12.75">
      <c r="A12" s="16"/>
      <c r="B12" s="16" t="s">
        <v>17</v>
      </c>
      <c r="C12" s="16" t="s">
        <v>134</v>
      </c>
      <c r="D12" s="36">
        <f>'Stavební rozpočet-U ZŠ'!H15</f>
        <v>30.71564674983588</v>
      </c>
      <c r="E12" s="36">
        <f>'Stavební rozpočet-U ZŠ'!I15</f>
        <v>4652.694353250165</v>
      </c>
      <c r="F12" s="36">
        <f t="shared" si="0"/>
        <v>4683.410000000001</v>
      </c>
      <c r="G12" s="36">
        <f>'Stavební rozpočet-U ZŠ'!L15</f>
        <v>9.17405</v>
      </c>
      <c r="H12" s="36" t="s">
        <v>268</v>
      </c>
      <c r="I12" s="36">
        <f t="shared" si="1"/>
        <v>4683.410000000001</v>
      </c>
    </row>
    <row r="13" spans="1:9" ht="12.75">
      <c r="A13" s="16"/>
      <c r="B13" s="16" t="s">
        <v>73</v>
      </c>
      <c r="C13" s="16" t="s">
        <v>140</v>
      </c>
      <c r="D13" s="36">
        <f>'Stavební rozpočet-U ZŠ'!H20</f>
        <v>0</v>
      </c>
      <c r="E13" s="36">
        <f>'Stavební rozpočet-U ZŠ'!I20</f>
        <v>8778</v>
      </c>
      <c r="F13" s="36">
        <f t="shared" si="0"/>
        <v>8778</v>
      </c>
      <c r="G13" s="36">
        <f>'Stavební rozpočet-U ZŠ'!L20</f>
        <v>0</v>
      </c>
      <c r="H13" s="36" t="s">
        <v>268</v>
      </c>
      <c r="I13" s="36">
        <f t="shared" si="1"/>
        <v>8778</v>
      </c>
    </row>
    <row r="14" spans="1:9" ht="12.75">
      <c r="A14" s="16"/>
      <c r="B14" s="16" t="s">
        <v>18</v>
      </c>
      <c r="C14" s="16" t="s">
        <v>142</v>
      </c>
      <c r="D14" s="36">
        <f>'Stavební rozpočet-U ZŠ'!H22</f>
        <v>0</v>
      </c>
      <c r="E14" s="36">
        <f>'Stavební rozpočet-U ZŠ'!I22</f>
        <v>178.64</v>
      </c>
      <c r="F14" s="36">
        <f t="shared" si="0"/>
        <v>178.64</v>
      </c>
      <c r="G14" s="36">
        <f>'Stavební rozpočet-U ZŠ'!L22</f>
        <v>0</v>
      </c>
      <c r="H14" s="36" t="s">
        <v>268</v>
      </c>
      <c r="I14" s="36">
        <f t="shared" si="1"/>
        <v>178.64</v>
      </c>
    </row>
    <row r="15" spans="1:9" ht="12.75">
      <c r="A15" s="16"/>
      <c r="B15" s="16" t="s">
        <v>19</v>
      </c>
      <c r="C15" s="16" t="s">
        <v>144</v>
      </c>
      <c r="D15" s="36">
        <f>'Stavební rozpočet-U ZŠ'!H24</f>
        <v>0</v>
      </c>
      <c r="E15" s="36">
        <f>'Stavební rozpočet-U ZŠ'!I24</f>
        <v>10.74</v>
      </c>
      <c r="F15" s="36">
        <f t="shared" si="0"/>
        <v>10.74</v>
      </c>
      <c r="G15" s="36">
        <f>'Stavební rozpočet-U ZŠ'!L24</f>
        <v>0</v>
      </c>
      <c r="H15" s="36" t="s">
        <v>268</v>
      </c>
      <c r="I15" s="36">
        <f t="shared" si="1"/>
        <v>10.74</v>
      </c>
    </row>
    <row r="16" spans="1:9" ht="12.75">
      <c r="A16" s="16"/>
      <c r="B16" s="16" t="s">
        <v>22</v>
      </c>
      <c r="C16" s="16" t="s">
        <v>146</v>
      </c>
      <c r="D16" s="36">
        <f>'Stavební rozpočet-U ZŠ'!H26</f>
        <v>0</v>
      </c>
      <c r="E16" s="36">
        <f>'Stavební rozpočet-U ZŠ'!I26</f>
        <v>49.8</v>
      </c>
      <c r="F16" s="36">
        <f t="shared" si="0"/>
        <v>49.8</v>
      </c>
      <c r="G16" s="36">
        <f>'Stavební rozpočet-U ZŠ'!L26</f>
        <v>0</v>
      </c>
      <c r="H16" s="36" t="s">
        <v>268</v>
      </c>
      <c r="I16" s="36">
        <f t="shared" si="1"/>
        <v>49.8</v>
      </c>
    </row>
    <row r="17" spans="1:9" ht="12.75">
      <c r="A17" s="16"/>
      <c r="B17" s="16" t="s">
        <v>24</v>
      </c>
      <c r="C17" s="16" t="s">
        <v>150</v>
      </c>
      <c r="D17" s="36">
        <f>'Stavební rozpočet-U ZŠ'!H30</f>
        <v>0</v>
      </c>
      <c r="E17" s="36">
        <f>'Stavební rozpočet-U ZŠ'!I30</f>
        <v>1106.7</v>
      </c>
      <c r="F17" s="36">
        <f t="shared" si="0"/>
        <v>1106.7</v>
      </c>
      <c r="G17" s="36">
        <f>'Stavební rozpočet-U ZŠ'!L30</f>
        <v>0</v>
      </c>
      <c r="H17" s="36" t="s">
        <v>268</v>
      </c>
      <c r="I17" s="36">
        <f t="shared" si="1"/>
        <v>1106.7</v>
      </c>
    </row>
    <row r="18" spans="1:9" ht="12.75">
      <c r="A18" s="16"/>
      <c r="B18" s="16" t="s">
        <v>33</v>
      </c>
      <c r="C18" s="16" t="s">
        <v>152</v>
      </c>
      <c r="D18" s="36">
        <f>'Stavební rozpočet-U ZŠ'!H32</f>
        <v>1903.1451603582093</v>
      </c>
      <c r="E18" s="36">
        <f>'Stavební rozpočet-U ZŠ'!I32</f>
        <v>169.7348396417908</v>
      </c>
      <c r="F18" s="36">
        <f t="shared" si="0"/>
        <v>2072.88</v>
      </c>
      <c r="G18" s="36">
        <f>'Stavební rozpočet-U ZŠ'!L32</f>
        <v>0.155136</v>
      </c>
      <c r="H18" s="36" t="s">
        <v>268</v>
      </c>
      <c r="I18" s="36">
        <f t="shared" si="1"/>
        <v>2072.88</v>
      </c>
    </row>
    <row r="19" spans="1:9" ht="12.75">
      <c r="A19" s="16"/>
      <c r="B19" s="16" t="s">
        <v>82</v>
      </c>
      <c r="C19" s="16" t="s">
        <v>154</v>
      </c>
      <c r="D19" s="36">
        <f>'Stavební rozpočet-U ZŠ'!H34</f>
        <v>8143.227606305976</v>
      </c>
      <c r="E19" s="36">
        <f>'Stavební rozpočet-U ZŠ'!I34</f>
        <v>1325.012393694024</v>
      </c>
      <c r="F19" s="36">
        <f t="shared" si="0"/>
        <v>9468.24</v>
      </c>
      <c r="G19" s="36">
        <f>'Stavební rozpočet-U ZŠ'!L34</f>
        <v>6.644116200000001</v>
      </c>
      <c r="H19" s="36" t="s">
        <v>268</v>
      </c>
      <c r="I19" s="36">
        <f t="shared" si="1"/>
        <v>9468.24</v>
      </c>
    </row>
    <row r="20" spans="1:9" ht="12.75">
      <c r="A20" s="16"/>
      <c r="B20" s="16" t="s">
        <v>85</v>
      </c>
      <c r="C20" s="16" t="s">
        <v>157</v>
      </c>
      <c r="D20" s="36">
        <f>'Stavební rozpočet-U ZŠ'!H38</f>
        <v>0</v>
      </c>
      <c r="E20" s="36">
        <f>'Stavební rozpočet-U ZŠ'!I38</f>
        <v>0</v>
      </c>
      <c r="F20" s="36">
        <f t="shared" si="0"/>
        <v>0</v>
      </c>
      <c r="G20" s="36">
        <f>'Stavební rozpočet-U ZŠ'!L38</f>
        <v>0.72702</v>
      </c>
      <c r="H20" s="36" t="s">
        <v>268</v>
      </c>
      <c r="I20" s="36">
        <f t="shared" si="1"/>
        <v>0</v>
      </c>
    </row>
    <row r="21" spans="1:9" ht="12.75">
      <c r="A21" s="16"/>
      <c r="B21" s="16" t="s">
        <v>88</v>
      </c>
      <c r="C21" s="16" t="s">
        <v>160</v>
      </c>
      <c r="D21" s="36">
        <f>'Stavební rozpočet-U ZŠ'!H42</f>
        <v>5657.842590604028</v>
      </c>
      <c r="E21" s="36">
        <f>'Stavební rozpočet-U ZŠ'!I42</f>
        <v>6118.617409395973</v>
      </c>
      <c r="F21" s="36">
        <f t="shared" si="0"/>
        <v>11776.460000000001</v>
      </c>
      <c r="G21" s="36">
        <f>'Stavební rozpočet-U ZŠ'!L42</f>
        <v>2.4596799999999996</v>
      </c>
      <c r="H21" s="36" t="s">
        <v>268</v>
      </c>
      <c r="I21" s="36">
        <f t="shared" si="1"/>
        <v>11776.460000000001</v>
      </c>
    </row>
    <row r="22" spans="1:9" ht="12.75">
      <c r="A22" s="16"/>
      <c r="B22" s="16" t="s">
        <v>95</v>
      </c>
      <c r="C22" s="16" t="s">
        <v>167</v>
      </c>
      <c r="D22" s="36">
        <f>'Stavební rozpočet-U ZŠ'!H47</f>
        <v>77.71827586206899</v>
      </c>
      <c r="E22" s="36">
        <f>'Stavební rozpočet-U ZŠ'!I47</f>
        <v>76.28172413793101</v>
      </c>
      <c r="F22" s="36">
        <f t="shared" si="0"/>
        <v>154</v>
      </c>
      <c r="G22" s="36">
        <f>'Stavební rozpočet-U ZŠ'!L47</f>
        <v>0.0002</v>
      </c>
      <c r="H22" s="36" t="s">
        <v>268</v>
      </c>
      <c r="I22" s="36">
        <f t="shared" si="1"/>
        <v>154</v>
      </c>
    </row>
    <row r="23" spans="1:9" ht="12.75">
      <c r="A23" s="16"/>
      <c r="B23" s="16" t="s">
        <v>98</v>
      </c>
      <c r="C23" s="16" t="s">
        <v>170</v>
      </c>
      <c r="D23" s="36">
        <f>'Stavební rozpočet-U ZŠ'!H50</f>
        <v>23311.932754449983</v>
      </c>
      <c r="E23" s="36">
        <f>'Stavební rozpočet-U ZŠ'!I50</f>
        <v>8710.067245550017</v>
      </c>
      <c r="F23" s="36">
        <f t="shared" si="0"/>
        <v>32022</v>
      </c>
      <c r="G23" s="36">
        <f>'Stavební rozpočet-U ZŠ'!L50</f>
        <v>3.455390000000001</v>
      </c>
      <c r="H23" s="36" t="s">
        <v>268</v>
      </c>
      <c r="I23" s="36">
        <f t="shared" si="1"/>
        <v>32022</v>
      </c>
    </row>
    <row r="24" spans="1:9" ht="12.75">
      <c r="A24" s="16"/>
      <c r="B24" s="16" t="s">
        <v>111</v>
      </c>
      <c r="C24" s="16" t="s">
        <v>184</v>
      </c>
      <c r="D24" s="36">
        <f>'Stavební rozpočet-U ZŠ'!H64</f>
        <v>0</v>
      </c>
      <c r="E24" s="36">
        <f>'Stavební rozpočet-U ZŠ'!I64</f>
        <v>390</v>
      </c>
      <c r="F24" s="36">
        <f t="shared" si="0"/>
        <v>390</v>
      </c>
      <c r="G24" s="36">
        <f>'Stavební rozpočet-U ZŠ'!L64</f>
        <v>0</v>
      </c>
      <c r="H24" s="36" t="s">
        <v>268</v>
      </c>
      <c r="I24" s="36">
        <f t="shared" si="1"/>
        <v>390</v>
      </c>
    </row>
    <row r="25" spans="1:9" ht="12.75">
      <c r="A25" s="16"/>
      <c r="B25" s="16" t="s">
        <v>113</v>
      </c>
      <c r="C25" s="16" t="s">
        <v>186</v>
      </c>
      <c r="D25" s="36">
        <f>'Stavební rozpočet-U ZŠ'!H66</f>
        <v>0</v>
      </c>
      <c r="E25" s="36">
        <f>'Stavební rozpočet-U ZŠ'!I66</f>
        <v>3109.43</v>
      </c>
      <c r="F25" s="36">
        <f t="shared" si="0"/>
        <v>3109.43</v>
      </c>
      <c r="G25" s="36">
        <f>'Stavební rozpočet-U ZŠ'!L66</f>
        <v>0</v>
      </c>
      <c r="H25" s="36" t="s">
        <v>268</v>
      </c>
      <c r="I25" s="36">
        <f t="shared" si="1"/>
        <v>3109.43</v>
      </c>
    </row>
    <row r="26" spans="1:9" ht="12.75">
      <c r="A26" s="16"/>
      <c r="B26" s="16" t="s">
        <v>120</v>
      </c>
      <c r="C26" s="16" t="s">
        <v>193</v>
      </c>
      <c r="D26" s="36">
        <f>'Stavební rozpočet-U ZŠ'!H75</f>
        <v>7.603523148148147</v>
      </c>
      <c r="E26" s="36">
        <f>'Stavební rozpočet-U ZŠ'!I75</f>
        <v>7732.496476851852</v>
      </c>
      <c r="F26" s="36">
        <f t="shared" si="0"/>
        <v>7740.1</v>
      </c>
      <c r="G26" s="36">
        <f>'Stavební rozpočet-U ZŠ'!L75</f>
        <v>0</v>
      </c>
      <c r="H26" s="36" t="s">
        <v>268</v>
      </c>
      <c r="I26" s="36">
        <f t="shared" si="1"/>
        <v>7740.1</v>
      </c>
    </row>
    <row r="28" spans="5:6" ht="12.75">
      <c r="E28" s="46" t="s">
        <v>217</v>
      </c>
      <c r="F28" s="49">
        <f>ROUND(SUM(I11:I26),0)</f>
        <v>96170</v>
      </c>
    </row>
  </sheetData>
  <sheetProtection password="CB35" sheet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3"/>
  <sheetViews>
    <sheetView zoomScalePageLayoutView="0" workbookViewId="0" topLeftCell="A1">
      <pane ySplit="11" topLeftCell="A64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89.00390625" style="0" customWidth="1"/>
    <col min="5" max="5" width="6.71093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7109375" style="0" hidden="1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4" ht="12.75">
      <c r="A2" s="106" t="s">
        <v>1</v>
      </c>
      <c r="B2" s="107"/>
      <c r="C2" s="107"/>
      <c r="D2" s="110" t="s">
        <v>127</v>
      </c>
      <c r="E2" s="151" t="s">
        <v>200</v>
      </c>
      <c r="F2" s="107"/>
      <c r="G2" s="151" t="s">
        <v>6</v>
      </c>
      <c r="H2" s="107"/>
      <c r="I2" s="113" t="s">
        <v>218</v>
      </c>
      <c r="J2" s="113" t="s">
        <v>223</v>
      </c>
      <c r="K2" s="107"/>
      <c r="L2" s="107"/>
      <c r="M2" s="147"/>
      <c r="N2" s="1"/>
    </row>
    <row r="3" spans="1:14" ht="12.75">
      <c r="A3" s="108"/>
      <c r="B3" s="109"/>
      <c r="C3" s="109"/>
      <c r="D3" s="112"/>
      <c r="E3" s="109"/>
      <c r="F3" s="109"/>
      <c r="G3" s="109"/>
      <c r="H3" s="109"/>
      <c r="I3" s="109"/>
      <c r="J3" s="109"/>
      <c r="K3" s="109"/>
      <c r="L3" s="109"/>
      <c r="M3" s="115"/>
      <c r="N3" s="1"/>
    </row>
    <row r="4" spans="1:14" ht="12.75">
      <c r="A4" s="116" t="s">
        <v>2</v>
      </c>
      <c r="B4" s="109"/>
      <c r="C4" s="109"/>
      <c r="D4" s="117" t="s">
        <v>6</v>
      </c>
      <c r="E4" s="119" t="s">
        <v>201</v>
      </c>
      <c r="F4" s="109"/>
      <c r="G4" s="119" t="s">
        <v>6</v>
      </c>
      <c r="H4" s="109"/>
      <c r="I4" s="117" t="s">
        <v>219</v>
      </c>
      <c r="J4" s="117" t="s">
        <v>224</v>
      </c>
      <c r="K4" s="109"/>
      <c r="L4" s="109"/>
      <c r="M4" s="115"/>
      <c r="N4" s="1"/>
    </row>
    <row r="5" spans="1:14" ht="12.75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5"/>
      <c r="N5" s="1"/>
    </row>
    <row r="6" spans="1:14" ht="12.75">
      <c r="A6" s="116" t="s">
        <v>3</v>
      </c>
      <c r="B6" s="109"/>
      <c r="C6" s="109"/>
      <c r="D6" s="117" t="s">
        <v>313</v>
      </c>
      <c r="E6" s="119" t="s">
        <v>202</v>
      </c>
      <c r="F6" s="109"/>
      <c r="G6" s="119" t="s">
        <v>6</v>
      </c>
      <c r="H6" s="109"/>
      <c r="I6" s="117" t="s">
        <v>220</v>
      </c>
      <c r="J6" s="152" t="s">
        <v>6</v>
      </c>
      <c r="K6" s="153"/>
      <c r="L6" s="153"/>
      <c r="M6" s="154"/>
      <c r="N6" s="1"/>
    </row>
    <row r="7" spans="1:14" ht="12.75">
      <c r="A7" s="108"/>
      <c r="B7" s="109"/>
      <c r="C7" s="109"/>
      <c r="D7" s="109"/>
      <c r="E7" s="109"/>
      <c r="F7" s="109"/>
      <c r="G7" s="109"/>
      <c r="H7" s="109"/>
      <c r="I7" s="109"/>
      <c r="J7" s="153"/>
      <c r="K7" s="153"/>
      <c r="L7" s="153"/>
      <c r="M7" s="154"/>
      <c r="N7" s="1"/>
    </row>
    <row r="8" spans="1:14" ht="12.75">
      <c r="A8" s="116" t="s">
        <v>4</v>
      </c>
      <c r="B8" s="109"/>
      <c r="C8" s="109"/>
      <c r="D8" s="117"/>
      <c r="E8" s="119" t="s">
        <v>203</v>
      </c>
      <c r="F8" s="109"/>
      <c r="G8" s="159" t="s">
        <v>6</v>
      </c>
      <c r="H8" s="153"/>
      <c r="I8" s="117" t="s">
        <v>221</v>
      </c>
      <c r="J8" s="152" t="s">
        <v>6</v>
      </c>
      <c r="K8" s="153"/>
      <c r="L8" s="153"/>
      <c r="M8" s="154"/>
      <c r="N8" s="1"/>
    </row>
    <row r="9" spans="1:14" ht="13.5" thickBot="1">
      <c r="A9" s="148"/>
      <c r="B9" s="149"/>
      <c r="C9" s="149"/>
      <c r="D9" s="149"/>
      <c r="E9" s="149"/>
      <c r="F9" s="149"/>
      <c r="G9" s="160"/>
      <c r="H9" s="160"/>
      <c r="I9" s="149"/>
      <c r="J9" s="160"/>
      <c r="K9" s="160"/>
      <c r="L9" s="160"/>
      <c r="M9" s="161"/>
      <c r="N9" s="1"/>
    </row>
    <row r="10" spans="1:14" ht="12.75">
      <c r="A10" s="2" t="s">
        <v>5</v>
      </c>
      <c r="B10" s="11" t="s">
        <v>63</v>
      </c>
      <c r="C10" s="11" t="s">
        <v>64</v>
      </c>
      <c r="D10" s="11" t="s">
        <v>129</v>
      </c>
      <c r="E10" s="11" t="s">
        <v>204</v>
      </c>
      <c r="F10" s="17" t="s">
        <v>212</v>
      </c>
      <c r="G10" s="21" t="s">
        <v>213</v>
      </c>
      <c r="H10" s="155" t="s">
        <v>215</v>
      </c>
      <c r="I10" s="156"/>
      <c r="J10" s="157"/>
      <c r="K10" s="155" t="s">
        <v>226</v>
      </c>
      <c r="L10" s="157"/>
      <c r="M10" s="30" t="s">
        <v>227</v>
      </c>
      <c r="N10" s="35"/>
    </row>
    <row r="11" spans="1:24" ht="13.5" thickBot="1">
      <c r="A11" s="3" t="s">
        <v>6</v>
      </c>
      <c r="B11" s="12" t="s">
        <v>6</v>
      </c>
      <c r="C11" s="12" t="s">
        <v>6</v>
      </c>
      <c r="D11" s="15" t="s">
        <v>130</v>
      </c>
      <c r="E11" s="12" t="s">
        <v>6</v>
      </c>
      <c r="F11" s="12" t="s">
        <v>6</v>
      </c>
      <c r="G11" s="22" t="s">
        <v>214</v>
      </c>
      <c r="H11" s="23" t="s">
        <v>216</v>
      </c>
      <c r="I11" s="24" t="s">
        <v>222</v>
      </c>
      <c r="J11" s="25" t="s">
        <v>225</v>
      </c>
      <c r="K11" s="23" t="s">
        <v>213</v>
      </c>
      <c r="L11" s="25" t="s">
        <v>225</v>
      </c>
      <c r="M11" s="31" t="s">
        <v>228</v>
      </c>
      <c r="N11" s="35"/>
      <c r="P11" s="27" t="s">
        <v>232</v>
      </c>
      <c r="Q11" s="27" t="s">
        <v>233</v>
      </c>
      <c r="R11" s="27" t="s">
        <v>234</v>
      </c>
      <c r="S11" s="27" t="s">
        <v>235</v>
      </c>
      <c r="T11" s="27" t="s">
        <v>236</v>
      </c>
      <c r="U11" s="27" t="s">
        <v>237</v>
      </c>
      <c r="V11" s="27" t="s">
        <v>238</v>
      </c>
      <c r="W11" s="27" t="s">
        <v>239</v>
      </c>
      <c r="X11" s="27" t="s">
        <v>240</v>
      </c>
    </row>
    <row r="12" spans="1:37" ht="12.75">
      <c r="A12" s="4"/>
      <c r="B12" s="13"/>
      <c r="C12" s="13" t="s">
        <v>65</v>
      </c>
      <c r="D12" s="13" t="s">
        <v>131</v>
      </c>
      <c r="E12" s="4" t="s">
        <v>6</v>
      </c>
      <c r="F12" s="4" t="s">
        <v>6</v>
      </c>
      <c r="G12" s="4" t="s">
        <v>6</v>
      </c>
      <c r="H12" s="38">
        <f>SUM(H13:H14)</f>
        <v>0</v>
      </c>
      <c r="I12" s="38">
        <f>SUM(I13:I14)</f>
        <v>14630</v>
      </c>
      <c r="J12" s="38">
        <f>H12+I12</f>
        <v>14630</v>
      </c>
      <c r="K12" s="26"/>
      <c r="L12" s="38">
        <f>SUM(L13:L14)</f>
        <v>0</v>
      </c>
      <c r="M12" s="26"/>
      <c r="Y12" s="27"/>
      <c r="AI12" s="39">
        <f>SUM(Z13:Z14)</f>
        <v>0</v>
      </c>
      <c r="AJ12" s="39">
        <f>SUM(AA13:AA14)</f>
        <v>0</v>
      </c>
      <c r="AK12" s="39">
        <f>SUM(AB13:AB14)</f>
        <v>14630</v>
      </c>
    </row>
    <row r="13" spans="1:48" ht="12.75">
      <c r="A13" s="5" t="s">
        <v>7</v>
      </c>
      <c r="B13" s="5"/>
      <c r="C13" s="5" t="s">
        <v>66</v>
      </c>
      <c r="D13" s="5" t="s">
        <v>132</v>
      </c>
      <c r="E13" s="5" t="s">
        <v>205</v>
      </c>
      <c r="F13" s="18">
        <v>1</v>
      </c>
      <c r="G13" s="101">
        <v>7315</v>
      </c>
      <c r="H13" s="18">
        <f>F13*AE13</f>
        <v>0</v>
      </c>
      <c r="I13" s="18">
        <f>J13-H13</f>
        <v>7315</v>
      </c>
      <c r="J13" s="18">
        <f>F13*G13</f>
        <v>7315</v>
      </c>
      <c r="K13" s="18">
        <v>0</v>
      </c>
      <c r="L13" s="18">
        <f>F13*K13</f>
        <v>0</v>
      </c>
      <c r="M13" s="32"/>
      <c r="P13" s="36">
        <f>IF(AG13="5",J13,0)</f>
        <v>0</v>
      </c>
      <c r="R13" s="36">
        <f>IF(AG13="1",H13,0)</f>
        <v>0</v>
      </c>
      <c r="S13" s="36">
        <f>IF(AG13="1",I13,0)</f>
        <v>7315</v>
      </c>
      <c r="T13" s="36">
        <f>IF(AG13="7",H13,0)</f>
        <v>0</v>
      </c>
      <c r="U13" s="36">
        <f>IF(AG13="7",I13,0)</f>
        <v>0</v>
      </c>
      <c r="V13" s="36">
        <f>IF(AG13="2",H13,0)</f>
        <v>0</v>
      </c>
      <c r="W13" s="36">
        <f>IF(AG13="2",I13,0)</f>
        <v>0</v>
      </c>
      <c r="X13" s="36">
        <f>IF(AG13="0",J13,0)</f>
        <v>0</v>
      </c>
      <c r="Y13" s="27"/>
      <c r="Z13" s="18">
        <f>IF(AD13=0,J13,0)</f>
        <v>0</v>
      </c>
      <c r="AA13" s="18">
        <f>IF(AD13=15,J13,0)</f>
        <v>0</v>
      </c>
      <c r="AB13" s="18">
        <f>IF(AD13=21,J13,0)</f>
        <v>7315</v>
      </c>
      <c r="AD13" s="36">
        <v>21</v>
      </c>
      <c r="AE13" s="36">
        <f>G13*0</f>
        <v>0</v>
      </c>
      <c r="AF13" s="36">
        <f>G13*(1-0)</f>
        <v>7315</v>
      </c>
      <c r="AG13" s="32" t="s">
        <v>7</v>
      </c>
      <c r="AM13" s="36">
        <f>F13*AE13</f>
        <v>0</v>
      </c>
      <c r="AN13" s="36">
        <f>F13*AF13</f>
        <v>7315</v>
      </c>
      <c r="AO13" s="37" t="s">
        <v>241</v>
      </c>
      <c r="AP13" s="37" t="s">
        <v>241</v>
      </c>
      <c r="AQ13" s="27" t="s">
        <v>262</v>
      </c>
      <c r="AS13" s="36">
        <f>AM13+AN13</f>
        <v>7315</v>
      </c>
      <c r="AT13" s="36">
        <f>G13/(100-AU13)*100</f>
        <v>7315.000000000001</v>
      </c>
      <c r="AU13" s="36">
        <v>0</v>
      </c>
      <c r="AV13" s="36">
        <f>L13</f>
        <v>0</v>
      </c>
    </row>
    <row r="14" spans="1:48" ht="12.75">
      <c r="A14" s="5" t="s">
        <v>8</v>
      </c>
      <c r="B14" s="5"/>
      <c r="C14" s="5" t="s">
        <v>67</v>
      </c>
      <c r="D14" s="5" t="s">
        <v>133</v>
      </c>
      <c r="E14" s="5" t="s">
        <v>205</v>
      </c>
      <c r="F14" s="18">
        <v>1</v>
      </c>
      <c r="G14" s="101">
        <v>7315</v>
      </c>
      <c r="H14" s="18">
        <f>F14*AE14</f>
        <v>0</v>
      </c>
      <c r="I14" s="18">
        <f>J14-H14</f>
        <v>7315</v>
      </c>
      <c r="J14" s="18">
        <f>F14*G14</f>
        <v>7315</v>
      </c>
      <c r="K14" s="18">
        <v>0</v>
      </c>
      <c r="L14" s="18">
        <f>F14*K14</f>
        <v>0</v>
      </c>
      <c r="M14" s="32"/>
      <c r="P14" s="36">
        <f>IF(AG14="5",J14,0)</f>
        <v>0</v>
      </c>
      <c r="R14" s="36">
        <f>IF(AG14="1",H14,0)</f>
        <v>0</v>
      </c>
      <c r="S14" s="36">
        <f>IF(AG14="1",I14,0)</f>
        <v>7315</v>
      </c>
      <c r="T14" s="36">
        <f>IF(AG14="7",H14,0)</f>
        <v>0</v>
      </c>
      <c r="U14" s="36">
        <f>IF(AG14="7",I14,0)</f>
        <v>0</v>
      </c>
      <c r="V14" s="36">
        <f>IF(AG14="2",H14,0)</f>
        <v>0</v>
      </c>
      <c r="W14" s="36">
        <f>IF(AG14="2",I14,0)</f>
        <v>0</v>
      </c>
      <c r="X14" s="36">
        <f>IF(AG14="0",J14,0)</f>
        <v>0</v>
      </c>
      <c r="Y14" s="27"/>
      <c r="Z14" s="18">
        <f>IF(AD14=0,J14,0)</f>
        <v>0</v>
      </c>
      <c r="AA14" s="18">
        <f>IF(AD14=15,J14,0)</f>
        <v>0</v>
      </c>
      <c r="AB14" s="18">
        <f>IF(AD14=21,J14,0)</f>
        <v>7315</v>
      </c>
      <c r="AD14" s="36">
        <v>21</v>
      </c>
      <c r="AE14" s="36">
        <f>G14*0</f>
        <v>0</v>
      </c>
      <c r="AF14" s="36">
        <f>G14*(1-0)</f>
        <v>7315</v>
      </c>
      <c r="AG14" s="32" t="s">
        <v>7</v>
      </c>
      <c r="AM14" s="36">
        <f>F14*AE14</f>
        <v>0</v>
      </c>
      <c r="AN14" s="36">
        <f>F14*AF14</f>
        <v>7315</v>
      </c>
      <c r="AO14" s="37" t="s">
        <v>241</v>
      </c>
      <c r="AP14" s="37" t="s">
        <v>241</v>
      </c>
      <c r="AQ14" s="27" t="s">
        <v>262</v>
      </c>
      <c r="AS14" s="36">
        <f>AM14+AN14</f>
        <v>7315</v>
      </c>
      <c r="AT14" s="36">
        <f>G14/(100-AU14)*100</f>
        <v>7315.000000000001</v>
      </c>
      <c r="AU14" s="36">
        <v>0</v>
      </c>
      <c r="AV14" s="36">
        <f>L14</f>
        <v>0</v>
      </c>
    </row>
    <row r="15" spans="1:37" ht="12.75">
      <c r="A15" s="6"/>
      <c r="B15" s="14"/>
      <c r="C15" s="14" t="s">
        <v>17</v>
      </c>
      <c r="D15" s="14" t="s">
        <v>134</v>
      </c>
      <c r="E15" s="6" t="s">
        <v>6</v>
      </c>
      <c r="F15" s="6" t="s">
        <v>6</v>
      </c>
      <c r="G15" s="6"/>
      <c r="H15" s="39">
        <f>SUM(H16:H19)</f>
        <v>30.71564674983588</v>
      </c>
      <c r="I15" s="39">
        <f>SUM(I16:I19)</f>
        <v>4652.694353250165</v>
      </c>
      <c r="J15" s="39">
        <f>H15+I15</f>
        <v>4683.410000000001</v>
      </c>
      <c r="K15" s="27"/>
      <c r="L15" s="39">
        <f>SUM(L16:L19)</f>
        <v>9.17405</v>
      </c>
      <c r="M15" s="27"/>
      <c r="Y15" s="27"/>
      <c r="AI15" s="39">
        <f>SUM(Z16:Z19)</f>
        <v>0</v>
      </c>
      <c r="AJ15" s="39">
        <f>SUM(AA16:AA19)</f>
        <v>0</v>
      </c>
      <c r="AK15" s="39">
        <f>SUM(AB16:AB19)</f>
        <v>4683.41</v>
      </c>
    </row>
    <row r="16" spans="1:48" ht="12.75">
      <c r="A16" s="5" t="s">
        <v>9</v>
      </c>
      <c r="B16" s="5"/>
      <c r="C16" s="5" t="s">
        <v>314</v>
      </c>
      <c r="D16" s="5" t="s">
        <v>315</v>
      </c>
      <c r="E16" s="5" t="s">
        <v>207</v>
      </c>
      <c r="F16" s="18">
        <v>5.4</v>
      </c>
      <c r="G16" s="101">
        <v>115</v>
      </c>
      <c r="H16" s="18">
        <f>F16*AE16</f>
        <v>30.71564674983588</v>
      </c>
      <c r="I16" s="18">
        <f>J16-H16</f>
        <v>590.2843532501641</v>
      </c>
      <c r="J16" s="18">
        <f>F16*G16</f>
        <v>621</v>
      </c>
      <c r="K16" s="18">
        <v>0</v>
      </c>
      <c r="L16" s="18">
        <f>F16*K16</f>
        <v>0</v>
      </c>
      <c r="M16" s="32" t="s">
        <v>230</v>
      </c>
      <c r="P16" s="36">
        <f>IF(AG16="5",J16,0)</f>
        <v>0</v>
      </c>
      <c r="R16" s="36">
        <f>IF(AG16="1",H16,0)</f>
        <v>30.71564674983588</v>
      </c>
      <c r="S16" s="36">
        <f>IF(AG16="1",I16,0)</f>
        <v>590.2843532501641</v>
      </c>
      <c r="T16" s="36">
        <f>IF(AG16="7",H16,0)</f>
        <v>0</v>
      </c>
      <c r="U16" s="36">
        <f>IF(AG16="7",I16,0)</f>
        <v>0</v>
      </c>
      <c r="V16" s="36">
        <f>IF(AG16="2",H16,0)</f>
        <v>0</v>
      </c>
      <c r="W16" s="36">
        <f>IF(AG16="2",I16,0)</f>
        <v>0</v>
      </c>
      <c r="X16" s="36">
        <f>IF(AG16="0",J16,0)</f>
        <v>0</v>
      </c>
      <c r="Y16" s="27"/>
      <c r="Z16" s="18">
        <f>IF(AD16=0,J16,0)</f>
        <v>0</v>
      </c>
      <c r="AA16" s="18">
        <f>IF(AD16=15,J16,0)</f>
        <v>0</v>
      </c>
      <c r="AB16" s="18">
        <f>IF(AD16=21,J16,0)</f>
        <v>621</v>
      </c>
      <c r="AD16" s="36">
        <v>21</v>
      </c>
      <c r="AE16" s="36">
        <f>G16*0.0494615889691399</f>
        <v>5.688082731451089</v>
      </c>
      <c r="AF16" s="36">
        <f>G16*(1-0.0494615889691399)</f>
        <v>109.31191726854891</v>
      </c>
      <c r="AG16" s="32" t="s">
        <v>7</v>
      </c>
      <c r="AM16" s="36">
        <f>F16*AE16</f>
        <v>30.71564674983588</v>
      </c>
      <c r="AN16" s="36">
        <f>F16*AF16</f>
        <v>590.2843532501641</v>
      </c>
      <c r="AO16" s="37" t="s">
        <v>242</v>
      </c>
      <c r="AP16" s="37" t="s">
        <v>257</v>
      </c>
      <c r="AQ16" s="27" t="s">
        <v>262</v>
      </c>
      <c r="AS16" s="36">
        <f>AM16+AN16</f>
        <v>621</v>
      </c>
      <c r="AT16" s="36">
        <f>G16/(100-AU16)*100</f>
        <v>114.99999999999999</v>
      </c>
      <c r="AU16" s="36">
        <v>0</v>
      </c>
      <c r="AV16" s="36">
        <f>L16</f>
        <v>0</v>
      </c>
    </row>
    <row r="17" spans="1:48" ht="12.75">
      <c r="A17" s="5" t="s">
        <v>10</v>
      </c>
      <c r="B17" s="5"/>
      <c r="C17" s="5" t="s">
        <v>316</v>
      </c>
      <c r="D17" s="5" t="s">
        <v>317</v>
      </c>
      <c r="E17" s="5" t="s">
        <v>207</v>
      </c>
      <c r="F17" s="18">
        <v>18.93</v>
      </c>
      <c r="G17" s="101">
        <v>101</v>
      </c>
      <c r="H17" s="18">
        <f>F17*AE17</f>
        <v>0</v>
      </c>
      <c r="I17" s="18">
        <f>J17-H17</f>
        <v>1911.93</v>
      </c>
      <c r="J17" s="18">
        <f>F17*G17</f>
        <v>1911.93</v>
      </c>
      <c r="K17" s="18">
        <v>0.235</v>
      </c>
      <c r="L17" s="18">
        <f>F17*K17</f>
        <v>4.44855</v>
      </c>
      <c r="M17" s="32" t="s">
        <v>318</v>
      </c>
      <c r="P17" s="36">
        <f>IF(AG17="5",J17,0)</f>
        <v>0</v>
      </c>
      <c r="R17" s="36">
        <f>IF(AG17="1",H17,0)</f>
        <v>0</v>
      </c>
      <c r="S17" s="36">
        <f>IF(AG17="1",I17,0)</f>
        <v>1911.93</v>
      </c>
      <c r="T17" s="36">
        <f>IF(AG17="7",H17,0)</f>
        <v>0</v>
      </c>
      <c r="U17" s="36">
        <f>IF(AG17="7",I17,0)</f>
        <v>0</v>
      </c>
      <c r="V17" s="36">
        <f>IF(AG17="2",H17,0)</f>
        <v>0</v>
      </c>
      <c r="W17" s="36">
        <f>IF(AG17="2",I17,0)</f>
        <v>0</v>
      </c>
      <c r="X17" s="36">
        <f>IF(AG17="0",J17,0)</f>
        <v>0</v>
      </c>
      <c r="Y17" s="27"/>
      <c r="Z17" s="18">
        <f>IF(AD17=0,J17,0)</f>
        <v>0</v>
      </c>
      <c r="AA17" s="18">
        <f>IF(AD17=15,J17,0)</f>
        <v>0</v>
      </c>
      <c r="AB17" s="18">
        <f>IF(AD17=21,J17,0)</f>
        <v>1911.93</v>
      </c>
      <c r="AD17" s="36">
        <v>21</v>
      </c>
      <c r="AE17" s="36">
        <f>G17*0</f>
        <v>0</v>
      </c>
      <c r="AF17" s="36">
        <f>G17*(1-0)</f>
        <v>101</v>
      </c>
      <c r="AG17" s="32" t="s">
        <v>7</v>
      </c>
      <c r="AM17" s="36">
        <f>F17*AE17</f>
        <v>0</v>
      </c>
      <c r="AN17" s="36">
        <f>F17*AF17</f>
        <v>1911.93</v>
      </c>
      <c r="AO17" s="37" t="s">
        <v>242</v>
      </c>
      <c r="AP17" s="37" t="s">
        <v>257</v>
      </c>
      <c r="AQ17" s="27" t="s">
        <v>262</v>
      </c>
      <c r="AS17" s="36">
        <f>AM17+AN17</f>
        <v>1911.93</v>
      </c>
      <c r="AT17" s="36">
        <f>G17/(100-AU17)*100</f>
        <v>101</v>
      </c>
      <c r="AU17" s="36">
        <v>0</v>
      </c>
      <c r="AV17" s="36">
        <f>L17</f>
        <v>4.44855</v>
      </c>
    </row>
    <row r="18" spans="1:48" ht="12.75">
      <c r="A18" s="5" t="s">
        <v>11</v>
      </c>
      <c r="B18" s="5"/>
      <c r="C18" s="5" t="s">
        <v>68</v>
      </c>
      <c r="D18" s="5" t="s">
        <v>135</v>
      </c>
      <c r="E18" s="5" t="s">
        <v>206</v>
      </c>
      <c r="F18" s="18">
        <v>10</v>
      </c>
      <c r="G18" s="101">
        <v>90</v>
      </c>
      <c r="H18" s="18">
        <f>F18*AE18</f>
        <v>0</v>
      </c>
      <c r="I18" s="18">
        <f>J18-H18</f>
        <v>900</v>
      </c>
      <c r="J18" s="18">
        <f>F18*G18</f>
        <v>900</v>
      </c>
      <c r="K18" s="18">
        <v>0.23</v>
      </c>
      <c r="L18" s="18">
        <f>F18*K18</f>
        <v>2.3000000000000003</v>
      </c>
      <c r="M18" s="32" t="s">
        <v>229</v>
      </c>
      <c r="P18" s="36">
        <f>IF(AG18="5",J18,0)</f>
        <v>0</v>
      </c>
      <c r="R18" s="36">
        <f>IF(AG18="1",H18,0)</f>
        <v>0</v>
      </c>
      <c r="S18" s="36">
        <f>IF(AG18="1",I18,0)</f>
        <v>900</v>
      </c>
      <c r="T18" s="36">
        <f>IF(AG18="7",H18,0)</f>
        <v>0</v>
      </c>
      <c r="U18" s="36">
        <f>IF(AG18="7",I18,0)</f>
        <v>0</v>
      </c>
      <c r="V18" s="36">
        <f>IF(AG18="2",H18,0)</f>
        <v>0</v>
      </c>
      <c r="W18" s="36">
        <f>IF(AG18="2",I18,0)</f>
        <v>0</v>
      </c>
      <c r="X18" s="36">
        <f>IF(AG18="0",J18,0)</f>
        <v>0</v>
      </c>
      <c r="Y18" s="27"/>
      <c r="Z18" s="18">
        <f>IF(AD18=0,J18,0)</f>
        <v>0</v>
      </c>
      <c r="AA18" s="18">
        <f>IF(AD18=15,J18,0)</f>
        <v>0</v>
      </c>
      <c r="AB18" s="18">
        <f>IF(AD18=21,J18,0)</f>
        <v>900</v>
      </c>
      <c r="AD18" s="36">
        <v>21</v>
      </c>
      <c r="AE18" s="36">
        <f>G18*0</f>
        <v>0</v>
      </c>
      <c r="AF18" s="36">
        <f>G18*(1-0)</f>
        <v>90</v>
      </c>
      <c r="AG18" s="32" t="s">
        <v>7</v>
      </c>
      <c r="AM18" s="36">
        <f>F18*AE18</f>
        <v>0</v>
      </c>
      <c r="AN18" s="36">
        <f>F18*AF18</f>
        <v>900</v>
      </c>
      <c r="AO18" s="37" t="s">
        <v>242</v>
      </c>
      <c r="AP18" s="37" t="s">
        <v>257</v>
      </c>
      <c r="AQ18" s="27" t="s">
        <v>262</v>
      </c>
      <c r="AS18" s="36">
        <f>AM18+AN18</f>
        <v>900</v>
      </c>
      <c r="AT18" s="36">
        <f>G18/(100-AU18)*100</f>
        <v>90</v>
      </c>
      <c r="AU18" s="36">
        <v>0</v>
      </c>
      <c r="AV18" s="36">
        <f>L18</f>
        <v>2.3000000000000003</v>
      </c>
    </row>
    <row r="19" spans="1:48" ht="12.75">
      <c r="A19" s="5" t="s">
        <v>12</v>
      </c>
      <c r="B19" s="5"/>
      <c r="C19" s="5" t="s">
        <v>69</v>
      </c>
      <c r="D19" s="5" t="s">
        <v>136</v>
      </c>
      <c r="E19" s="5" t="s">
        <v>207</v>
      </c>
      <c r="F19" s="18">
        <v>10.78</v>
      </c>
      <c r="G19" s="101">
        <v>116</v>
      </c>
      <c r="H19" s="18">
        <f>F19*AE19</f>
        <v>0</v>
      </c>
      <c r="I19" s="18">
        <f>J19-H19</f>
        <v>1250.48</v>
      </c>
      <c r="J19" s="18">
        <f>F19*G19</f>
        <v>1250.48</v>
      </c>
      <c r="K19" s="18">
        <v>0.225</v>
      </c>
      <c r="L19" s="18">
        <f>F19*K19</f>
        <v>2.4255</v>
      </c>
      <c r="M19" s="32" t="s">
        <v>229</v>
      </c>
      <c r="P19" s="36">
        <f>IF(AG19="5",J19,0)</f>
        <v>0</v>
      </c>
      <c r="R19" s="36">
        <f>IF(AG19="1",H19,0)</f>
        <v>0</v>
      </c>
      <c r="S19" s="36">
        <f>IF(AG19="1",I19,0)</f>
        <v>1250.48</v>
      </c>
      <c r="T19" s="36">
        <f>IF(AG19="7",H19,0)</f>
        <v>0</v>
      </c>
      <c r="U19" s="36">
        <f>IF(AG19="7",I19,0)</f>
        <v>0</v>
      </c>
      <c r="V19" s="36">
        <f>IF(AG19="2",H19,0)</f>
        <v>0</v>
      </c>
      <c r="W19" s="36">
        <f>IF(AG19="2",I19,0)</f>
        <v>0</v>
      </c>
      <c r="X19" s="36">
        <f>IF(AG19="0",J19,0)</f>
        <v>0</v>
      </c>
      <c r="Y19" s="27"/>
      <c r="Z19" s="18">
        <f>IF(AD19=0,J19,0)</f>
        <v>0</v>
      </c>
      <c r="AA19" s="18">
        <f>IF(AD19=15,J19,0)</f>
        <v>0</v>
      </c>
      <c r="AB19" s="18">
        <f>IF(AD19=21,J19,0)</f>
        <v>1250.48</v>
      </c>
      <c r="AD19" s="36">
        <v>21</v>
      </c>
      <c r="AE19" s="36">
        <f>G19*0</f>
        <v>0</v>
      </c>
      <c r="AF19" s="36">
        <f>G19*(1-0)</f>
        <v>116</v>
      </c>
      <c r="AG19" s="32" t="s">
        <v>7</v>
      </c>
      <c r="AM19" s="36">
        <f>F19*AE19</f>
        <v>0</v>
      </c>
      <c r="AN19" s="36">
        <f>F19*AF19</f>
        <v>1250.48</v>
      </c>
      <c r="AO19" s="37" t="s">
        <v>242</v>
      </c>
      <c r="AP19" s="37" t="s">
        <v>257</v>
      </c>
      <c r="AQ19" s="27" t="s">
        <v>262</v>
      </c>
      <c r="AS19" s="36">
        <f>AM19+AN19</f>
        <v>1250.48</v>
      </c>
      <c r="AT19" s="36">
        <f>G19/(100-AU19)*100</f>
        <v>115.99999999999999</v>
      </c>
      <c r="AU19" s="36">
        <v>0</v>
      </c>
      <c r="AV19" s="36">
        <f>L19</f>
        <v>2.4255</v>
      </c>
    </row>
    <row r="20" spans="1:37" ht="12.75">
      <c r="A20" s="6"/>
      <c r="B20" s="14"/>
      <c r="C20" s="14" t="s">
        <v>73</v>
      </c>
      <c r="D20" s="14" t="s">
        <v>140</v>
      </c>
      <c r="E20" s="6" t="s">
        <v>6</v>
      </c>
      <c r="F20" s="6" t="s">
        <v>6</v>
      </c>
      <c r="G20" s="6"/>
      <c r="H20" s="39">
        <f>SUM(H21:H21)</f>
        <v>0</v>
      </c>
      <c r="I20" s="39">
        <f>SUM(I21:I21)</f>
        <v>8778</v>
      </c>
      <c r="J20" s="39">
        <f>H20+I20</f>
        <v>8778</v>
      </c>
      <c r="K20" s="27"/>
      <c r="L20" s="39">
        <f>SUM(L21:L21)</f>
        <v>0</v>
      </c>
      <c r="M20" s="27"/>
      <c r="Y20" s="27"/>
      <c r="AI20" s="39">
        <f>SUM(Z21:Z21)</f>
        <v>0</v>
      </c>
      <c r="AJ20" s="39">
        <f>SUM(AA21:AA21)</f>
        <v>0</v>
      </c>
      <c r="AK20" s="39">
        <f>SUM(AB21:AB21)</f>
        <v>8778</v>
      </c>
    </row>
    <row r="21" spans="1:48" ht="12.75">
      <c r="A21" s="5" t="s">
        <v>13</v>
      </c>
      <c r="B21" s="5"/>
      <c r="C21" s="5" t="s">
        <v>74</v>
      </c>
      <c r="D21" s="5" t="s">
        <v>141</v>
      </c>
      <c r="E21" s="5" t="s">
        <v>208</v>
      </c>
      <c r="F21" s="18">
        <v>6</v>
      </c>
      <c r="G21" s="101">
        <v>1463</v>
      </c>
      <c r="H21" s="18">
        <f>F21*AE21</f>
        <v>0</v>
      </c>
      <c r="I21" s="18">
        <f>J21-H21</f>
        <v>8778</v>
      </c>
      <c r="J21" s="18">
        <f>F21*G21</f>
        <v>8778</v>
      </c>
      <c r="K21" s="18">
        <v>0</v>
      </c>
      <c r="L21" s="18">
        <f>F21*K21</f>
        <v>0</v>
      </c>
      <c r="M21" s="32"/>
      <c r="P21" s="36">
        <f>IF(AG21="5",J21,0)</f>
        <v>0</v>
      </c>
      <c r="R21" s="36">
        <f>IF(AG21="1",H21,0)</f>
        <v>0</v>
      </c>
      <c r="S21" s="36">
        <f>IF(AG21="1",I21,0)</f>
        <v>8778</v>
      </c>
      <c r="T21" s="36">
        <f>IF(AG21="7",H21,0)</f>
        <v>0</v>
      </c>
      <c r="U21" s="36">
        <f>IF(AG21="7",I21,0)</f>
        <v>0</v>
      </c>
      <c r="V21" s="36">
        <f>IF(AG21="2",H21,0)</f>
        <v>0</v>
      </c>
      <c r="W21" s="36">
        <f>IF(AG21="2",I21,0)</f>
        <v>0</v>
      </c>
      <c r="X21" s="36">
        <f>IF(AG21="0",J21,0)</f>
        <v>0</v>
      </c>
      <c r="Y21" s="27"/>
      <c r="Z21" s="18">
        <f>IF(AD21=0,J21,0)</f>
        <v>0</v>
      </c>
      <c r="AA21" s="18">
        <f>IF(AD21=15,J21,0)</f>
        <v>0</v>
      </c>
      <c r="AB21" s="18">
        <f>IF(AD21=21,J21,0)</f>
        <v>8778</v>
      </c>
      <c r="AD21" s="36">
        <v>21</v>
      </c>
      <c r="AE21" s="36">
        <f>G21*0</f>
        <v>0</v>
      </c>
      <c r="AF21" s="36">
        <f>G21*(1-0)</f>
        <v>1463</v>
      </c>
      <c r="AG21" s="32" t="s">
        <v>7</v>
      </c>
      <c r="AM21" s="36">
        <f>F21*AE21</f>
        <v>0</v>
      </c>
      <c r="AN21" s="36">
        <f>F21*AF21</f>
        <v>8778</v>
      </c>
      <c r="AO21" s="37" t="s">
        <v>243</v>
      </c>
      <c r="AP21" s="37" t="s">
        <v>257</v>
      </c>
      <c r="AQ21" s="27" t="s">
        <v>262</v>
      </c>
      <c r="AS21" s="36">
        <f>AM21+AN21</f>
        <v>8778</v>
      </c>
      <c r="AT21" s="36">
        <f>G21/(100-AU21)*100</f>
        <v>1463</v>
      </c>
      <c r="AU21" s="36">
        <v>0</v>
      </c>
      <c r="AV21" s="36">
        <f>L21</f>
        <v>0</v>
      </c>
    </row>
    <row r="22" spans="1:37" ht="12.75">
      <c r="A22" s="6"/>
      <c r="B22" s="14"/>
      <c r="C22" s="14" t="s">
        <v>18</v>
      </c>
      <c r="D22" s="14" t="s">
        <v>142</v>
      </c>
      <c r="E22" s="6" t="s">
        <v>6</v>
      </c>
      <c r="F22" s="6" t="s">
        <v>6</v>
      </c>
      <c r="G22" s="6"/>
      <c r="H22" s="39">
        <f>SUM(H23:H23)</f>
        <v>0</v>
      </c>
      <c r="I22" s="39">
        <f>SUM(I23:I23)</f>
        <v>178.64</v>
      </c>
      <c r="J22" s="39">
        <f>H22+I22</f>
        <v>178.64</v>
      </c>
      <c r="K22" s="27"/>
      <c r="L22" s="39">
        <f>SUM(L23:L23)</f>
        <v>0</v>
      </c>
      <c r="M22" s="27"/>
      <c r="Y22" s="27"/>
      <c r="AI22" s="39">
        <f>SUM(Z23:Z23)</f>
        <v>0</v>
      </c>
      <c r="AJ22" s="39">
        <f>SUM(AA23:AA23)</f>
        <v>0</v>
      </c>
      <c r="AK22" s="39">
        <f>SUM(AB23:AB23)</f>
        <v>178.64</v>
      </c>
    </row>
    <row r="23" spans="1:48" ht="12.75">
      <c r="A23" s="5" t="s">
        <v>14</v>
      </c>
      <c r="B23" s="5"/>
      <c r="C23" s="5" t="s">
        <v>75</v>
      </c>
      <c r="D23" s="5" t="s">
        <v>143</v>
      </c>
      <c r="E23" s="5" t="s">
        <v>209</v>
      </c>
      <c r="F23" s="18">
        <v>1.16</v>
      </c>
      <c r="G23" s="101">
        <v>154</v>
      </c>
      <c r="H23" s="18">
        <f>F23*AE23</f>
        <v>0</v>
      </c>
      <c r="I23" s="18">
        <f>J23-H23</f>
        <v>178.64</v>
      </c>
      <c r="J23" s="18">
        <f>F23*G23</f>
        <v>178.64</v>
      </c>
      <c r="K23" s="18">
        <v>0</v>
      </c>
      <c r="L23" s="18">
        <f>F23*K23</f>
        <v>0</v>
      </c>
      <c r="M23" s="32" t="s">
        <v>229</v>
      </c>
      <c r="P23" s="36">
        <f>IF(AG23="5",J23,0)</f>
        <v>0</v>
      </c>
      <c r="R23" s="36">
        <f>IF(AG23="1",H23,0)</f>
        <v>0</v>
      </c>
      <c r="S23" s="36">
        <f>IF(AG23="1",I23,0)</f>
        <v>178.64</v>
      </c>
      <c r="T23" s="36">
        <f>IF(AG23="7",H23,0)</f>
        <v>0</v>
      </c>
      <c r="U23" s="36">
        <f>IF(AG23="7",I23,0)</f>
        <v>0</v>
      </c>
      <c r="V23" s="36">
        <f>IF(AG23="2",H23,0)</f>
        <v>0</v>
      </c>
      <c r="W23" s="36">
        <f>IF(AG23="2",I23,0)</f>
        <v>0</v>
      </c>
      <c r="X23" s="36">
        <f>IF(AG23="0",J23,0)</f>
        <v>0</v>
      </c>
      <c r="Y23" s="27"/>
      <c r="Z23" s="18">
        <f>IF(AD23=0,J23,0)</f>
        <v>0</v>
      </c>
      <c r="AA23" s="18">
        <f>IF(AD23=15,J23,0)</f>
        <v>0</v>
      </c>
      <c r="AB23" s="18">
        <f>IF(AD23=21,J23,0)</f>
        <v>178.64</v>
      </c>
      <c r="AD23" s="36">
        <v>21</v>
      </c>
      <c r="AE23" s="36">
        <f>G23*0</f>
        <v>0</v>
      </c>
      <c r="AF23" s="36">
        <f>G23*(1-0)</f>
        <v>154</v>
      </c>
      <c r="AG23" s="32" t="s">
        <v>7</v>
      </c>
      <c r="AM23" s="36">
        <f>F23*AE23</f>
        <v>0</v>
      </c>
      <c r="AN23" s="36">
        <f>F23*AF23</f>
        <v>178.64</v>
      </c>
      <c r="AO23" s="37" t="s">
        <v>244</v>
      </c>
      <c r="AP23" s="37" t="s">
        <v>257</v>
      </c>
      <c r="AQ23" s="27" t="s">
        <v>262</v>
      </c>
      <c r="AS23" s="36">
        <f>AM23+AN23</f>
        <v>178.64</v>
      </c>
      <c r="AT23" s="36">
        <f>G23/(100-AU23)*100</f>
        <v>154</v>
      </c>
      <c r="AU23" s="36">
        <v>0</v>
      </c>
      <c r="AV23" s="36">
        <f>L23</f>
        <v>0</v>
      </c>
    </row>
    <row r="24" spans="1:37" ht="12.75">
      <c r="A24" s="6"/>
      <c r="B24" s="14"/>
      <c r="C24" s="14" t="s">
        <v>19</v>
      </c>
      <c r="D24" s="14" t="s">
        <v>144</v>
      </c>
      <c r="E24" s="6" t="s">
        <v>6</v>
      </c>
      <c r="F24" s="6" t="s">
        <v>6</v>
      </c>
      <c r="G24" s="6"/>
      <c r="H24" s="39">
        <f>SUM(H25:H25)</f>
        <v>0</v>
      </c>
      <c r="I24" s="39">
        <f>SUM(I25:I25)</f>
        <v>10.74</v>
      </c>
      <c r="J24" s="39">
        <f>H24+I24</f>
        <v>10.74</v>
      </c>
      <c r="K24" s="27"/>
      <c r="L24" s="39">
        <f>SUM(L25:L25)</f>
        <v>0</v>
      </c>
      <c r="M24" s="27"/>
      <c r="Y24" s="27"/>
      <c r="AI24" s="39">
        <f>SUM(Z25:Z25)</f>
        <v>0</v>
      </c>
      <c r="AJ24" s="39">
        <f>SUM(AA25:AA25)</f>
        <v>0</v>
      </c>
      <c r="AK24" s="39">
        <f>SUM(AB25:AB25)</f>
        <v>10.74</v>
      </c>
    </row>
    <row r="25" spans="1:48" ht="12.75">
      <c r="A25" s="5" t="s">
        <v>15</v>
      </c>
      <c r="B25" s="5"/>
      <c r="C25" s="5" t="s">
        <v>76</v>
      </c>
      <c r="D25" s="5" t="s">
        <v>145</v>
      </c>
      <c r="E25" s="5" t="s">
        <v>209</v>
      </c>
      <c r="F25" s="18">
        <v>0.06</v>
      </c>
      <c r="G25" s="101">
        <v>179</v>
      </c>
      <c r="H25" s="18">
        <f>F25*AE25</f>
        <v>0</v>
      </c>
      <c r="I25" s="18">
        <f>J25-H25</f>
        <v>10.74</v>
      </c>
      <c r="J25" s="18">
        <f>F25*G25</f>
        <v>10.74</v>
      </c>
      <c r="K25" s="18">
        <v>0</v>
      </c>
      <c r="L25" s="18">
        <f>F25*K25</f>
        <v>0</v>
      </c>
      <c r="M25" s="32" t="s">
        <v>229</v>
      </c>
      <c r="P25" s="36">
        <f>IF(AG25="5",J25,0)</f>
        <v>0</v>
      </c>
      <c r="R25" s="36">
        <f>IF(AG25="1",H25,0)</f>
        <v>0</v>
      </c>
      <c r="S25" s="36">
        <f>IF(AG25="1",I25,0)</f>
        <v>10.74</v>
      </c>
      <c r="T25" s="36">
        <f>IF(AG25="7",H25,0)</f>
        <v>0</v>
      </c>
      <c r="U25" s="36">
        <f>IF(AG25="7",I25,0)</f>
        <v>0</v>
      </c>
      <c r="V25" s="36">
        <f>IF(AG25="2",H25,0)</f>
        <v>0</v>
      </c>
      <c r="W25" s="36">
        <f>IF(AG25="2",I25,0)</f>
        <v>0</v>
      </c>
      <c r="X25" s="36">
        <f>IF(AG25="0",J25,0)</f>
        <v>0</v>
      </c>
      <c r="Y25" s="27"/>
      <c r="Z25" s="18">
        <f>IF(AD25=0,J25,0)</f>
        <v>0</v>
      </c>
      <c r="AA25" s="18">
        <f>IF(AD25=15,J25,0)</f>
        <v>0</v>
      </c>
      <c r="AB25" s="18">
        <f>IF(AD25=21,J25,0)</f>
        <v>10.74</v>
      </c>
      <c r="AD25" s="36">
        <v>21</v>
      </c>
      <c r="AE25" s="36">
        <f>G25*0</f>
        <v>0</v>
      </c>
      <c r="AF25" s="36">
        <f>G25*(1-0)</f>
        <v>179</v>
      </c>
      <c r="AG25" s="32" t="s">
        <v>7</v>
      </c>
      <c r="AM25" s="36">
        <f>F25*AE25</f>
        <v>0</v>
      </c>
      <c r="AN25" s="36">
        <f>F25*AF25</f>
        <v>10.74</v>
      </c>
      <c r="AO25" s="37" t="s">
        <v>245</v>
      </c>
      <c r="AP25" s="37" t="s">
        <v>257</v>
      </c>
      <c r="AQ25" s="27" t="s">
        <v>262</v>
      </c>
      <c r="AS25" s="36">
        <f>AM25+AN25</f>
        <v>10.74</v>
      </c>
      <c r="AT25" s="36">
        <f>G25/(100-AU25)*100</f>
        <v>179</v>
      </c>
      <c r="AU25" s="36">
        <v>0</v>
      </c>
      <c r="AV25" s="36">
        <f>L25</f>
        <v>0</v>
      </c>
    </row>
    <row r="26" spans="1:37" ht="12.75">
      <c r="A26" s="6"/>
      <c r="B26" s="14"/>
      <c r="C26" s="14" t="s">
        <v>22</v>
      </c>
      <c r="D26" s="14" t="s">
        <v>146</v>
      </c>
      <c r="E26" s="6" t="s">
        <v>6</v>
      </c>
      <c r="F26" s="6" t="s">
        <v>6</v>
      </c>
      <c r="G26" s="6"/>
      <c r="H26" s="39">
        <f>SUM(H27:H29)</f>
        <v>0</v>
      </c>
      <c r="I26" s="39">
        <f>SUM(I27:I29)</f>
        <v>49.8</v>
      </c>
      <c r="J26" s="39">
        <f>H26+I26</f>
        <v>49.8</v>
      </c>
      <c r="K26" s="27"/>
      <c r="L26" s="39">
        <f>SUM(L27:L29)</f>
        <v>0</v>
      </c>
      <c r="M26" s="27"/>
      <c r="Y26" s="27"/>
      <c r="AI26" s="39">
        <f>SUM(Z27:Z29)</f>
        <v>0</v>
      </c>
      <c r="AJ26" s="39">
        <f>SUM(AA27:AA29)</f>
        <v>0</v>
      </c>
      <c r="AK26" s="39">
        <f>SUM(AB27:AB29)</f>
        <v>49.8</v>
      </c>
    </row>
    <row r="27" spans="1:48" ht="12.75">
      <c r="A27" s="5" t="s">
        <v>16</v>
      </c>
      <c r="B27" s="5"/>
      <c r="C27" s="5" t="s">
        <v>77</v>
      </c>
      <c r="D27" s="5" t="s">
        <v>147</v>
      </c>
      <c r="E27" s="5" t="s">
        <v>209</v>
      </c>
      <c r="F27" s="18">
        <v>0.06</v>
      </c>
      <c r="G27" s="101">
        <v>79</v>
      </c>
      <c r="H27" s="18">
        <f>F27*AE27</f>
        <v>0</v>
      </c>
      <c r="I27" s="18">
        <f>J27-H27</f>
        <v>4.74</v>
      </c>
      <c r="J27" s="18">
        <f>F27*G27</f>
        <v>4.74</v>
      </c>
      <c r="K27" s="18">
        <v>0</v>
      </c>
      <c r="L27" s="18">
        <f>F27*K27</f>
        <v>0</v>
      </c>
      <c r="M27" s="32" t="s">
        <v>229</v>
      </c>
      <c r="P27" s="36">
        <f>IF(AG27="5",J27,0)</f>
        <v>0</v>
      </c>
      <c r="R27" s="36">
        <f>IF(AG27="1",H27,0)</f>
        <v>0</v>
      </c>
      <c r="S27" s="36">
        <f>IF(AG27="1",I27,0)</f>
        <v>4.74</v>
      </c>
      <c r="T27" s="36">
        <f>IF(AG27="7",H27,0)</f>
        <v>0</v>
      </c>
      <c r="U27" s="36">
        <f>IF(AG27="7",I27,0)</f>
        <v>0</v>
      </c>
      <c r="V27" s="36">
        <f>IF(AG27="2",H27,0)</f>
        <v>0</v>
      </c>
      <c r="W27" s="36">
        <f>IF(AG27="2",I27,0)</f>
        <v>0</v>
      </c>
      <c r="X27" s="36">
        <f>IF(AG27="0",J27,0)</f>
        <v>0</v>
      </c>
      <c r="Y27" s="27"/>
      <c r="Z27" s="18">
        <f>IF(AD27=0,J27,0)</f>
        <v>0</v>
      </c>
      <c r="AA27" s="18">
        <f>IF(AD27=15,J27,0)</f>
        <v>0</v>
      </c>
      <c r="AB27" s="18">
        <f>IF(AD27=21,J27,0)</f>
        <v>4.74</v>
      </c>
      <c r="AD27" s="36">
        <v>21</v>
      </c>
      <c r="AE27" s="36">
        <f>G27*0</f>
        <v>0</v>
      </c>
      <c r="AF27" s="36">
        <f>G27*(1-0)</f>
        <v>79</v>
      </c>
      <c r="AG27" s="32" t="s">
        <v>7</v>
      </c>
      <c r="AM27" s="36">
        <f>F27*AE27</f>
        <v>0</v>
      </c>
      <c r="AN27" s="36">
        <f>F27*AF27</f>
        <v>4.74</v>
      </c>
      <c r="AO27" s="37" t="s">
        <v>246</v>
      </c>
      <c r="AP27" s="37" t="s">
        <v>257</v>
      </c>
      <c r="AQ27" s="27" t="s">
        <v>262</v>
      </c>
      <c r="AS27" s="36">
        <f>AM27+AN27</f>
        <v>4.74</v>
      </c>
      <c r="AT27" s="36">
        <f>G27/(100-AU27)*100</f>
        <v>79</v>
      </c>
      <c r="AU27" s="36">
        <v>0</v>
      </c>
      <c r="AV27" s="36">
        <f>L27</f>
        <v>0</v>
      </c>
    </row>
    <row r="28" spans="1:48" ht="12.75">
      <c r="A28" s="5" t="s">
        <v>17</v>
      </c>
      <c r="B28" s="5"/>
      <c r="C28" s="5" t="s">
        <v>78</v>
      </c>
      <c r="D28" s="5" t="s">
        <v>148</v>
      </c>
      <c r="E28" s="5" t="s">
        <v>209</v>
      </c>
      <c r="F28" s="18">
        <v>0.06</v>
      </c>
      <c r="G28" s="101">
        <v>20</v>
      </c>
      <c r="H28" s="18">
        <f>F28*AE28</f>
        <v>0</v>
      </c>
      <c r="I28" s="18">
        <f>J28-H28</f>
        <v>1.2</v>
      </c>
      <c r="J28" s="18">
        <f>F28*G28</f>
        <v>1.2</v>
      </c>
      <c r="K28" s="18">
        <v>0</v>
      </c>
      <c r="L28" s="18">
        <f>F28*K28</f>
        <v>0</v>
      </c>
      <c r="M28" s="32" t="s">
        <v>229</v>
      </c>
      <c r="P28" s="36">
        <f>IF(AG28="5",J28,0)</f>
        <v>0</v>
      </c>
      <c r="R28" s="36">
        <f>IF(AG28="1",H28,0)</f>
        <v>0</v>
      </c>
      <c r="S28" s="36">
        <f>IF(AG28="1",I28,0)</f>
        <v>1.2</v>
      </c>
      <c r="T28" s="36">
        <f>IF(AG28="7",H28,0)</f>
        <v>0</v>
      </c>
      <c r="U28" s="36">
        <f>IF(AG28="7",I28,0)</f>
        <v>0</v>
      </c>
      <c r="V28" s="36">
        <f>IF(AG28="2",H28,0)</f>
        <v>0</v>
      </c>
      <c r="W28" s="36">
        <f>IF(AG28="2",I28,0)</f>
        <v>0</v>
      </c>
      <c r="X28" s="36">
        <f>IF(AG28="0",J28,0)</f>
        <v>0</v>
      </c>
      <c r="Y28" s="27"/>
      <c r="Z28" s="18">
        <f>IF(AD28=0,J28,0)</f>
        <v>0</v>
      </c>
      <c r="AA28" s="18">
        <f>IF(AD28=15,J28,0)</f>
        <v>0</v>
      </c>
      <c r="AB28" s="18">
        <f>IF(AD28=21,J28,0)</f>
        <v>1.2</v>
      </c>
      <c r="AD28" s="36">
        <v>21</v>
      </c>
      <c r="AE28" s="36">
        <f>G28*0</f>
        <v>0</v>
      </c>
      <c r="AF28" s="36">
        <f>G28*(1-0)</f>
        <v>20</v>
      </c>
      <c r="AG28" s="32" t="s">
        <v>7</v>
      </c>
      <c r="AM28" s="36">
        <f>F28*AE28</f>
        <v>0</v>
      </c>
      <c r="AN28" s="36">
        <f>F28*AF28</f>
        <v>1.2</v>
      </c>
      <c r="AO28" s="37" t="s">
        <v>246</v>
      </c>
      <c r="AP28" s="37" t="s">
        <v>257</v>
      </c>
      <c r="AQ28" s="27" t="s">
        <v>262</v>
      </c>
      <c r="AS28" s="36">
        <f>AM28+AN28</f>
        <v>1.2</v>
      </c>
      <c r="AT28" s="36">
        <f>G28/(100-AU28)*100</f>
        <v>20</v>
      </c>
      <c r="AU28" s="36">
        <v>0</v>
      </c>
      <c r="AV28" s="36">
        <f>L28</f>
        <v>0</v>
      </c>
    </row>
    <row r="29" spans="1:48" ht="12.75">
      <c r="A29" s="5" t="s">
        <v>18</v>
      </c>
      <c r="B29" s="5"/>
      <c r="C29" s="5" t="s">
        <v>79</v>
      </c>
      <c r="D29" s="5" t="s">
        <v>149</v>
      </c>
      <c r="E29" s="5" t="s">
        <v>209</v>
      </c>
      <c r="F29" s="18">
        <v>0.06</v>
      </c>
      <c r="G29" s="101">
        <v>731</v>
      </c>
      <c r="H29" s="18">
        <f>F29*AE29</f>
        <v>0</v>
      </c>
      <c r="I29" s="18">
        <f>J29-H29</f>
        <v>43.86</v>
      </c>
      <c r="J29" s="18">
        <f>F29*G29</f>
        <v>43.86</v>
      </c>
      <c r="K29" s="18">
        <v>0</v>
      </c>
      <c r="L29" s="18">
        <f>F29*K29</f>
        <v>0</v>
      </c>
      <c r="M29" s="32" t="s">
        <v>229</v>
      </c>
      <c r="P29" s="36">
        <f>IF(AG29="5",J29,0)</f>
        <v>0</v>
      </c>
      <c r="R29" s="36">
        <f>IF(AG29="1",H29,0)</f>
        <v>0</v>
      </c>
      <c r="S29" s="36">
        <f>IF(AG29="1",I29,0)</f>
        <v>43.86</v>
      </c>
      <c r="T29" s="36">
        <f>IF(AG29="7",H29,0)</f>
        <v>0</v>
      </c>
      <c r="U29" s="36">
        <f>IF(AG29="7",I29,0)</f>
        <v>0</v>
      </c>
      <c r="V29" s="36">
        <f>IF(AG29="2",H29,0)</f>
        <v>0</v>
      </c>
      <c r="W29" s="36">
        <f>IF(AG29="2",I29,0)</f>
        <v>0</v>
      </c>
      <c r="X29" s="36">
        <f>IF(AG29="0",J29,0)</f>
        <v>0</v>
      </c>
      <c r="Y29" s="27"/>
      <c r="Z29" s="18">
        <f>IF(AD29=0,J29,0)</f>
        <v>0</v>
      </c>
      <c r="AA29" s="18">
        <f>IF(AD29=15,J29,0)</f>
        <v>0</v>
      </c>
      <c r="AB29" s="18">
        <f>IF(AD29=21,J29,0)</f>
        <v>43.86</v>
      </c>
      <c r="AD29" s="36">
        <v>21</v>
      </c>
      <c r="AE29" s="36">
        <f>G29*0</f>
        <v>0</v>
      </c>
      <c r="AF29" s="36">
        <f>G29*(1-0)</f>
        <v>731</v>
      </c>
      <c r="AG29" s="32" t="s">
        <v>7</v>
      </c>
      <c r="AM29" s="36">
        <f>F29*AE29</f>
        <v>0</v>
      </c>
      <c r="AN29" s="36">
        <f>F29*AF29</f>
        <v>43.86</v>
      </c>
      <c r="AO29" s="37" t="s">
        <v>246</v>
      </c>
      <c r="AP29" s="37" t="s">
        <v>257</v>
      </c>
      <c r="AQ29" s="27" t="s">
        <v>262</v>
      </c>
      <c r="AS29" s="36">
        <f>AM29+AN29</f>
        <v>43.86</v>
      </c>
      <c r="AT29" s="36">
        <f>G29/(100-AU29)*100</f>
        <v>731</v>
      </c>
      <c r="AU29" s="36">
        <v>0</v>
      </c>
      <c r="AV29" s="36">
        <f>L29</f>
        <v>0</v>
      </c>
    </row>
    <row r="30" spans="1:37" ht="12.75">
      <c r="A30" s="6"/>
      <c r="B30" s="14"/>
      <c r="C30" s="14" t="s">
        <v>24</v>
      </c>
      <c r="D30" s="14" t="s">
        <v>150</v>
      </c>
      <c r="E30" s="6" t="s">
        <v>6</v>
      </c>
      <c r="F30" s="6" t="s">
        <v>6</v>
      </c>
      <c r="G30" s="6"/>
      <c r="H30" s="39">
        <f>SUM(H31:H31)</f>
        <v>0</v>
      </c>
      <c r="I30" s="39">
        <f>SUM(I31:I31)</f>
        <v>1106.7</v>
      </c>
      <c r="J30" s="39">
        <f>H30+I30</f>
        <v>1106.7</v>
      </c>
      <c r="K30" s="27"/>
      <c r="L30" s="39">
        <f>SUM(L31:L31)</f>
        <v>0</v>
      </c>
      <c r="M30" s="27"/>
      <c r="Y30" s="27"/>
      <c r="AI30" s="39">
        <f>SUM(Z31:Z31)</f>
        <v>0</v>
      </c>
      <c r="AJ30" s="39">
        <f>SUM(AA31:AA31)</f>
        <v>0</v>
      </c>
      <c r="AK30" s="39">
        <f>SUM(AB31:AB31)</f>
        <v>1106.7</v>
      </c>
    </row>
    <row r="31" spans="1:48" ht="12.75">
      <c r="A31" s="5" t="s">
        <v>19</v>
      </c>
      <c r="B31" s="5"/>
      <c r="C31" s="5" t="s">
        <v>80</v>
      </c>
      <c r="D31" s="5" t="s">
        <v>151</v>
      </c>
      <c r="E31" s="5" t="s">
        <v>207</v>
      </c>
      <c r="F31" s="18">
        <v>4.65</v>
      </c>
      <c r="G31" s="101">
        <v>238</v>
      </c>
      <c r="H31" s="18">
        <f>F31*AE31</f>
        <v>0</v>
      </c>
      <c r="I31" s="18">
        <f>J31-H31</f>
        <v>1106.7</v>
      </c>
      <c r="J31" s="18">
        <f>F31*G31</f>
        <v>1106.7</v>
      </c>
      <c r="K31" s="18">
        <v>0</v>
      </c>
      <c r="L31" s="18">
        <f>F31*K31</f>
        <v>0</v>
      </c>
      <c r="M31" s="32" t="s">
        <v>229</v>
      </c>
      <c r="P31" s="36">
        <f>IF(AG31="5",J31,0)</f>
        <v>0</v>
      </c>
      <c r="R31" s="36">
        <f>IF(AG31="1",H31,0)</f>
        <v>0</v>
      </c>
      <c r="S31" s="36">
        <f>IF(AG31="1",I31,0)</f>
        <v>1106.7</v>
      </c>
      <c r="T31" s="36">
        <f>IF(AG31="7",H31,0)</f>
        <v>0</v>
      </c>
      <c r="U31" s="36">
        <f>IF(AG31="7",I31,0)</f>
        <v>0</v>
      </c>
      <c r="V31" s="36">
        <f>IF(AG31="2",H31,0)</f>
        <v>0</v>
      </c>
      <c r="W31" s="36">
        <f>IF(AG31="2",I31,0)</f>
        <v>0</v>
      </c>
      <c r="X31" s="36">
        <f>IF(AG31="0",J31,0)</f>
        <v>0</v>
      </c>
      <c r="Y31" s="27"/>
      <c r="Z31" s="18">
        <f>IF(AD31=0,J31,0)</f>
        <v>0</v>
      </c>
      <c r="AA31" s="18">
        <f>IF(AD31=15,J31,0)</f>
        <v>0</v>
      </c>
      <c r="AB31" s="18">
        <f>IF(AD31=21,J31,0)</f>
        <v>1106.7</v>
      </c>
      <c r="AD31" s="36">
        <v>21</v>
      </c>
      <c r="AE31" s="36">
        <f>G31*0</f>
        <v>0</v>
      </c>
      <c r="AF31" s="36">
        <f>G31*(1-0)</f>
        <v>238</v>
      </c>
      <c r="AG31" s="32" t="s">
        <v>7</v>
      </c>
      <c r="AM31" s="36">
        <f>F31*AE31</f>
        <v>0</v>
      </c>
      <c r="AN31" s="36">
        <f>F31*AF31</f>
        <v>1106.7</v>
      </c>
      <c r="AO31" s="37" t="s">
        <v>247</v>
      </c>
      <c r="AP31" s="37" t="s">
        <v>257</v>
      </c>
      <c r="AQ31" s="27" t="s">
        <v>262</v>
      </c>
      <c r="AS31" s="36">
        <f>AM31+AN31</f>
        <v>1106.7</v>
      </c>
      <c r="AT31" s="36">
        <f>G31/(100-AU31)*100</f>
        <v>238</v>
      </c>
      <c r="AU31" s="36">
        <v>0</v>
      </c>
      <c r="AV31" s="36">
        <f>L31</f>
        <v>0</v>
      </c>
    </row>
    <row r="32" spans="1:37" ht="12.75">
      <c r="A32" s="6"/>
      <c r="B32" s="14"/>
      <c r="C32" s="14" t="s">
        <v>33</v>
      </c>
      <c r="D32" s="14" t="s">
        <v>152</v>
      </c>
      <c r="E32" s="6" t="s">
        <v>6</v>
      </c>
      <c r="F32" s="6" t="s">
        <v>6</v>
      </c>
      <c r="G32" s="6"/>
      <c r="H32" s="39">
        <f>SUM(H33:H33)</f>
        <v>1903.1451603582093</v>
      </c>
      <c r="I32" s="39">
        <f>SUM(I33:I33)</f>
        <v>169.7348396417908</v>
      </c>
      <c r="J32" s="39">
        <f>H32+I32</f>
        <v>2072.88</v>
      </c>
      <c r="K32" s="27"/>
      <c r="L32" s="39">
        <f>SUM(L33:L33)</f>
        <v>0.155136</v>
      </c>
      <c r="M32" s="27"/>
      <c r="Y32" s="27"/>
      <c r="AI32" s="39">
        <f>SUM(Z33:Z33)</f>
        <v>0</v>
      </c>
      <c r="AJ32" s="39">
        <f>SUM(AA33:AA33)</f>
        <v>0</v>
      </c>
      <c r="AK32" s="39">
        <f>SUM(AB33:AB33)</f>
        <v>2072.88</v>
      </c>
    </row>
    <row r="33" spans="1:48" ht="12.75">
      <c r="A33" s="5" t="s">
        <v>20</v>
      </c>
      <c r="B33" s="5"/>
      <c r="C33" s="5" t="s">
        <v>81</v>
      </c>
      <c r="D33" s="5" t="s">
        <v>153</v>
      </c>
      <c r="E33" s="5" t="s">
        <v>209</v>
      </c>
      <c r="F33" s="18">
        <v>0.06</v>
      </c>
      <c r="G33" s="101">
        <v>34548</v>
      </c>
      <c r="H33" s="18">
        <f>F33*AE33</f>
        <v>1903.1451603582093</v>
      </c>
      <c r="I33" s="18">
        <f>J33-H33</f>
        <v>169.7348396417908</v>
      </c>
      <c r="J33" s="18">
        <f>F33*G33</f>
        <v>2072.88</v>
      </c>
      <c r="K33" s="18">
        <v>2.5856</v>
      </c>
      <c r="L33" s="18">
        <f>F33*K33</f>
        <v>0.155136</v>
      </c>
      <c r="M33" s="32" t="s">
        <v>229</v>
      </c>
      <c r="P33" s="36">
        <f>IF(AG33="5",J33,0)</f>
        <v>0</v>
      </c>
      <c r="R33" s="36">
        <f>IF(AG33="1",H33,0)</f>
        <v>1903.1451603582093</v>
      </c>
      <c r="S33" s="36">
        <f>IF(AG33="1",I33,0)</f>
        <v>169.7348396417908</v>
      </c>
      <c r="T33" s="36">
        <f>IF(AG33="7",H33,0)</f>
        <v>0</v>
      </c>
      <c r="U33" s="36">
        <f>IF(AG33="7",I33,0)</f>
        <v>0</v>
      </c>
      <c r="V33" s="36">
        <f>IF(AG33="2",H33,0)</f>
        <v>0</v>
      </c>
      <c r="W33" s="36">
        <f>IF(AG33="2",I33,0)</f>
        <v>0</v>
      </c>
      <c r="X33" s="36">
        <f>IF(AG33="0",J33,0)</f>
        <v>0</v>
      </c>
      <c r="Y33" s="27"/>
      <c r="Z33" s="18">
        <f>IF(AD33=0,J33,0)</f>
        <v>0</v>
      </c>
      <c r="AA33" s="18">
        <f>IF(AD33=15,J33,0)</f>
        <v>0</v>
      </c>
      <c r="AB33" s="18">
        <f>IF(AD33=21,J33,0)</f>
        <v>2072.88</v>
      </c>
      <c r="AD33" s="36">
        <v>21</v>
      </c>
      <c r="AE33" s="36">
        <f>G33*0.918116417910448</f>
        <v>31719.086005970155</v>
      </c>
      <c r="AF33" s="36">
        <f>G33*(1-0.918116417910448)</f>
        <v>2828.913994029844</v>
      </c>
      <c r="AG33" s="32" t="s">
        <v>7</v>
      </c>
      <c r="AM33" s="36">
        <f>F33*AE33</f>
        <v>1903.1451603582093</v>
      </c>
      <c r="AN33" s="36">
        <f>F33*AF33</f>
        <v>169.73483964179064</v>
      </c>
      <c r="AO33" s="37" t="s">
        <v>248</v>
      </c>
      <c r="AP33" s="37" t="s">
        <v>258</v>
      </c>
      <c r="AQ33" s="27" t="s">
        <v>262</v>
      </c>
      <c r="AS33" s="36">
        <f>AM33+AN33</f>
        <v>2072.88</v>
      </c>
      <c r="AT33" s="36">
        <f>G33/(100-AU33)*100</f>
        <v>34548</v>
      </c>
      <c r="AU33" s="36">
        <v>0</v>
      </c>
      <c r="AV33" s="36">
        <f>L33</f>
        <v>0.155136</v>
      </c>
    </row>
    <row r="34" spans="1:37" ht="12.75">
      <c r="A34" s="6"/>
      <c r="B34" s="14"/>
      <c r="C34" s="14" t="s">
        <v>82</v>
      </c>
      <c r="D34" s="14" t="s">
        <v>154</v>
      </c>
      <c r="E34" s="6" t="s">
        <v>6</v>
      </c>
      <c r="F34" s="6" t="s">
        <v>6</v>
      </c>
      <c r="G34" s="6"/>
      <c r="H34" s="39">
        <f>SUM(H35:H37)</f>
        <v>8143.227606305976</v>
      </c>
      <c r="I34" s="39">
        <f>SUM(I35:I37)</f>
        <v>1325.012393694024</v>
      </c>
      <c r="J34" s="39">
        <f>H34+I34</f>
        <v>9468.24</v>
      </c>
      <c r="K34" s="27"/>
      <c r="L34" s="39">
        <f>SUM(L35:L37)</f>
        <v>6.644116200000001</v>
      </c>
      <c r="M34" s="27"/>
      <c r="Y34" s="27"/>
      <c r="AI34" s="39">
        <f>SUM(Z35:Z37)</f>
        <v>0</v>
      </c>
      <c r="AJ34" s="39">
        <f>SUM(AA35:AA37)</f>
        <v>0</v>
      </c>
      <c r="AK34" s="39">
        <f>SUM(AB35:AB37)</f>
        <v>9468.24</v>
      </c>
    </row>
    <row r="35" spans="1:48" ht="12.75">
      <c r="A35" s="5" t="s">
        <v>21</v>
      </c>
      <c r="B35" s="5"/>
      <c r="C35" s="5" t="s">
        <v>83</v>
      </c>
      <c r="D35" s="5" t="s">
        <v>319</v>
      </c>
      <c r="E35" s="5" t="s">
        <v>207</v>
      </c>
      <c r="F35" s="18">
        <v>15.93</v>
      </c>
      <c r="G35" s="101">
        <v>368</v>
      </c>
      <c r="H35" s="18">
        <f>F35*AE35</f>
        <v>5075.441572786421</v>
      </c>
      <c r="I35" s="18">
        <f>J35-H35</f>
        <v>786.7984272135791</v>
      </c>
      <c r="J35" s="18">
        <f>F35*G35</f>
        <v>5862.24</v>
      </c>
      <c r="K35" s="18">
        <v>0.27994</v>
      </c>
      <c r="L35" s="18">
        <f>F35*K35</f>
        <v>4.4594442</v>
      </c>
      <c r="M35" s="32" t="s">
        <v>229</v>
      </c>
      <c r="P35" s="36">
        <f>IF(AG35="5",J35,0)</f>
        <v>0</v>
      </c>
      <c r="R35" s="36">
        <f>IF(AG35="1",H35,0)</f>
        <v>5075.441572786421</v>
      </c>
      <c r="S35" s="36">
        <f>IF(AG35="1",I35,0)</f>
        <v>786.7984272135791</v>
      </c>
      <c r="T35" s="36">
        <f>IF(AG35="7",H35,0)</f>
        <v>0</v>
      </c>
      <c r="U35" s="36">
        <f>IF(AG35="7",I35,0)</f>
        <v>0</v>
      </c>
      <c r="V35" s="36">
        <f>IF(AG35="2",H35,0)</f>
        <v>0</v>
      </c>
      <c r="W35" s="36">
        <f>IF(AG35="2",I35,0)</f>
        <v>0</v>
      </c>
      <c r="X35" s="36">
        <f>IF(AG35="0",J35,0)</f>
        <v>0</v>
      </c>
      <c r="Y35" s="27"/>
      <c r="Z35" s="18">
        <f>IF(AD35=0,J35,0)</f>
        <v>0</v>
      </c>
      <c r="AA35" s="18">
        <f>IF(AD35=15,J35,0)</f>
        <v>0</v>
      </c>
      <c r="AB35" s="18">
        <f>IF(AD35=21,J35,0)</f>
        <v>5862.24</v>
      </c>
      <c r="AD35" s="36">
        <v>21</v>
      </c>
      <c r="AE35" s="36">
        <f>G35*0.865785360678925</f>
        <v>318.6090127298444</v>
      </c>
      <c r="AF35" s="36">
        <f>G35*(1-0.865785360678925)</f>
        <v>49.390987270155605</v>
      </c>
      <c r="AG35" s="32" t="s">
        <v>7</v>
      </c>
      <c r="AM35" s="36">
        <f>F35*AE35</f>
        <v>5075.441572786421</v>
      </c>
      <c r="AN35" s="36">
        <f>F35*AF35</f>
        <v>786.7984272135787</v>
      </c>
      <c r="AO35" s="37" t="s">
        <v>249</v>
      </c>
      <c r="AP35" s="37" t="s">
        <v>259</v>
      </c>
      <c r="AQ35" s="27" t="s">
        <v>262</v>
      </c>
      <c r="AS35" s="36">
        <f>AM35+AN35</f>
        <v>5862.24</v>
      </c>
      <c r="AT35" s="36">
        <f>G35/(100-AU35)*100</f>
        <v>368</v>
      </c>
      <c r="AU35" s="36">
        <v>0</v>
      </c>
      <c r="AV35" s="36">
        <f>L35</f>
        <v>4.4594442</v>
      </c>
    </row>
    <row r="36" spans="1:48" ht="12.75">
      <c r="A36" s="5" t="s">
        <v>22</v>
      </c>
      <c r="B36" s="5"/>
      <c r="C36" s="5" t="s">
        <v>84</v>
      </c>
      <c r="D36" s="5" t="s">
        <v>156</v>
      </c>
      <c r="E36" s="5" t="s">
        <v>207</v>
      </c>
      <c r="F36" s="18">
        <v>3</v>
      </c>
      <c r="G36" s="101">
        <v>1202</v>
      </c>
      <c r="H36" s="18">
        <f>F36*AE36</f>
        <v>3067.786033519555</v>
      </c>
      <c r="I36" s="18">
        <f>J36-H36</f>
        <v>538.2139664804449</v>
      </c>
      <c r="J36" s="18">
        <f>F36*G36</f>
        <v>3606</v>
      </c>
      <c r="K36" s="18">
        <v>0.50666</v>
      </c>
      <c r="L36" s="18">
        <f>F36*K36</f>
        <v>1.5199799999999999</v>
      </c>
      <c r="M36" s="32" t="s">
        <v>229</v>
      </c>
      <c r="P36" s="36">
        <f>IF(AG36="5",J36,0)</f>
        <v>0</v>
      </c>
      <c r="R36" s="36">
        <f>IF(AG36="1",H36,0)</f>
        <v>3067.786033519555</v>
      </c>
      <c r="S36" s="36">
        <f>IF(AG36="1",I36,0)</f>
        <v>538.2139664804449</v>
      </c>
      <c r="T36" s="36">
        <f>IF(AG36="7",H36,0)</f>
        <v>0</v>
      </c>
      <c r="U36" s="36">
        <f>IF(AG36="7",I36,0)</f>
        <v>0</v>
      </c>
      <c r="V36" s="36">
        <f>IF(AG36="2",H36,0)</f>
        <v>0</v>
      </c>
      <c r="W36" s="36">
        <f>IF(AG36="2",I36,0)</f>
        <v>0</v>
      </c>
      <c r="X36" s="36">
        <f>IF(AG36="0",J36,0)</f>
        <v>0</v>
      </c>
      <c r="Y36" s="27"/>
      <c r="Z36" s="18">
        <f>IF(AD36=0,J36,0)</f>
        <v>0</v>
      </c>
      <c r="AA36" s="18">
        <f>IF(AD36=15,J36,0)</f>
        <v>0</v>
      </c>
      <c r="AB36" s="18">
        <f>IF(AD36=21,J36,0)</f>
        <v>3606</v>
      </c>
      <c r="AD36" s="36">
        <v>21</v>
      </c>
      <c r="AE36" s="36">
        <f>G36*0.85074487895717</f>
        <v>1022.5953445065184</v>
      </c>
      <c r="AF36" s="36">
        <f>G36*(1-0.85074487895717)</f>
        <v>179.40465549348167</v>
      </c>
      <c r="AG36" s="32" t="s">
        <v>7</v>
      </c>
      <c r="AM36" s="36">
        <f>F36*AE36</f>
        <v>3067.786033519555</v>
      </c>
      <c r="AN36" s="36">
        <f>F36*AF36</f>
        <v>538.213966480445</v>
      </c>
      <c r="AO36" s="37" t="s">
        <v>249</v>
      </c>
      <c r="AP36" s="37" t="s">
        <v>259</v>
      </c>
      <c r="AQ36" s="27" t="s">
        <v>262</v>
      </c>
      <c r="AS36" s="36">
        <f>AM36+AN36</f>
        <v>3606</v>
      </c>
      <c r="AT36" s="36">
        <f>G36/(100-AU36)*100</f>
        <v>1202</v>
      </c>
      <c r="AU36" s="36">
        <v>0</v>
      </c>
      <c r="AV36" s="36">
        <f>L36</f>
        <v>1.5199799999999999</v>
      </c>
    </row>
    <row r="37" spans="1:48" ht="12.75">
      <c r="A37" s="5" t="s">
        <v>23</v>
      </c>
      <c r="B37" s="5"/>
      <c r="C37" s="5" t="s">
        <v>320</v>
      </c>
      <c r="D37" s="5" t="s">
        <v>321</v>
      </c>
      <c r="E37" s="5" t="s">
        <v>207</v>
      </c>
      <c r="F37" s="18">
        <v>4.2</v>
      </c>
      <c r="G37" s="101">
        <v>0</v>
      </c>
      <c r="H37" s="18">
        <f>F37*AE37</f>
        <v>0</v>
      </c>
      <c r="I37" s="18">
        <f>J37-H37</f>
        <v>0</v>
      </c>
      <c r="J37" s="18">
        <f>F37*G37</f>
        <v>0</v>
      </c>
      <c r="K37" s="18">
        <v>0.15826</v>
      </c>
      <c r="L37" s="18">
        <f>F37*K37</f>
        <v>0.6646920000000001</v>
      </c>
      <c r="M37" s="32" t="s">
        <v>229</v>
      </c>
      <c r="P37" s="36">
        <f>IF(AG37="5",J37,0)</f>
        <v>0</v>
      </c>
      <c r="R37" s="36">
        <f>IF(AG37="1",H37,0)</f>
        <v>0</v>
      </c>
      <c r="S37" s="36">
        <f>IF(AG37="1",I37,0)</f>
        <v>0</v>
      </c>
      <c r="T37" s="36">
        <f>IF(AG37="7",H37,0)</f>
        <v>0</v>
      </c>
      <c r="U37" s="36">
        <f>IF(AG37="7",I37,0)</f>
        <v>0</v>
      </c>
      <c r="V37" s="36">
        <f>IF(AG37="2",H37,0)</f>
        <v>0</v>
      </c>
      <c r="W37" s="36">
        <f>IF(AG37="2",I37,0)</f>
        <v>0</v>
      </c>
      <c r="X37" s="36">
        <f>IF(AG37="0",J37,0)</f>
        <v>0</v>
      </c>
      <c r="Y37" s="27"/>
      <c r="Z37" s="18">
        <f>IF(AD37=0,J37,0)</f>
        <v>0</v>
      </c>
      <c r="AA37" s="18">
        <f>IF(AD37=15,J37,0)</f>
        <v>0</v>
      </c>
      <c r="AB37" s="18">
        <f>IF(AD37=21,J37,0)</f>
        <v>0</v>
      </c>
      <c r="AD37" s="36">
        <v>21</v>
      </c>
      <c r="AE37" s="36">
        <f>G37*0.7905975</f>
        <v>0</v>
      </c>
      <c r="AF37" s="36">
        <f>G37*(1-0.7905975)</f>
        <v>0</v>
      </c>
      <c r="AG37" s="32" t="s">
        <v>7</v>
      </c>
      <c r="AM37" s="36">
        <f>F37*AE37</f>
        <v>0</v>
      </c>
      <c r="AN37" s="36">
        <f>F37*AF37</f>
        <v>0</v>
      </c>
      <c r="AO37" s="37" t="s">
        <v>249</v>
      </c>
      <c r="AP37" s="37" t="s">
        <v>259</v>
      </c>
      <c r="AQ37" s="27" t="s">
        <v>262</v>
      </c>
      <c r="AS37" s="36">
        <f>AM37+AN37</f>
        <v>0</v>
      </c>
      <c r="AT37" s="36">
        <f>G37/(100-AU37)*100</f>
        <v>0</v>
      </c>
      <c r="AU37" s="36">
        <v>0</v>
      </c>
      <c r="AV37" s="36">
        <f>L37</f>
        <v>0.6646920000000001</v>
      </c>
    </row>
    <row r="38" spans="1:37" ht="12.75">
      <c r="A38" s="6"/>
      <c r="B38" s="14"/>
      <c r="C38" s="14" t="s">
        <v>85</v>
      </c>
      <c r="D38" s="14" t="s">
        <v>157</v>
      </c>
      <c r="E38" s="6" t="s">
        <v>6</v>
      </c>
      <c r="F38" s="6" t="s">
        <v>6</v>
      </c>
      <c r="G38" s="6"/>
      <c r="H38" s="39">
        <f>SUM(H39:H41)</f>
        <v>0</v>
      </c>
      <c r="I38" s="39">
        <f>SUM(I39:I41)</f>
        <v>0</v>
      </c>
      <c r="J38" s="39">
        <f>H38+I38</f>
        <v>0</v>
      </c>
      <c r="K38" s="27"/>
      <c r="L38" s="39">
        <f>SUM(L39:L41)</f>
        <v>0.72702</v>
      </c>
      <c r="M38" s="27"/>
      <c r="Y38" s="27"/>
      <c r="AI38" s="39">
        <f>SUM(Z39:Z41)</f>
        <v>0</v>
      </c>
      <c r="AJ38" s="39">
        <f>SUM(AA39:AA41)</f>
        <v>0</v>
      </c>
      <c r="AK38" s="39">
        <f>SUM(AB39:AB41)</f>
        <v>0</v>
      </c>
    </row>
    <row r="39" spans="1:48" ht="12.75">
      <c r="A39" s="5" t="s">
        <v>24</v>
      </c>
      <c r="B39" s="5"/>
      <c r="C39" s="5" t="s">
        <v>86</v>
      </c>
      <c r="D39" s="5" t="s">
        <v>158</v>
      </c>
      <c r="E39" s="5" t="s">
        <v>207</v>
      </c>
      <c r="F39" s="18">
        <v>5.4</v>
      </c>
      <c r="G39" s="101">
        <v>0</v>
      </c>
      <c r="H39" s="18">
        <f>F39*AE39</f>
        <v>0</v>
      </c>
      <c r="I39" s="18">
        <f>J39-H39</f>
        <v>0</v>
      </c>
      <c r="J39" s="18">
        <f>F39*G39</f>
        <v>0</v>
      </c>
      <c r="K39" s="18">
        <v>0.00061</v>
      </c>
      <c r="L39" s="18">
        <f>F39*K39</f>
        <v>0.003294</v>
      </c>
      <c r="M39" s="32" t="s">
        <v>229</v>
      </c>
      <c r="P39" s="36">
        <f>IF(AG39="5",J39,0)</f>
        <v>0</v>
      </c>
      <c r="R39" s="36">
        <f>IF(AG39="1",H39,0)</f>
        <v>0</v>
      </c>
      <c r="S39" s="36">
        <f>IF(AG39="1",I39,0)</f>
        <v>0</v>
      </c>
      <c r="T39" s="36">
        <f>IF(AG39="7",H39,0)</f>
        <v>0</v>
      </c>
      <c r="U39" s="36">
        <f>IF(AG39="7",I39,0)</f>
        <v>0</v>
      </c>
      <c r="V39" s="36">
        <f>IF(AG39="2",H39,0)</f>
        <v>0</v>
      </c>
      <c r="W39" s="36">
        <f>IF(AG39="2",I39,0)</f>
        <v>0</v>
      </c>
      <c r="X39" s="36">
        <f>IF(AG39="0",J39,0)</f>
        <v>0</v>
      </c>
      <c r="Y39" s="27"/>
      <c r="Z39" s="18">
        <f>IF(AD39=0,J39,0)</f>
        <v>0</v>
      </c>
      <c r="AA39" s="18">
        <f>IF(AD39=15,J39,0)</f>
        <v>0</v>
      </c>
      <c r="AB39" s="18">
        <f>IF(AD39=21,J39,0)</f>
        <v>0</v>
      </c>
      <c r="AD39" s="36">
        <v>21</v>
      </c>
      <c r="AE39" s="36">
        <f>G39*0.9345</f>
        <v>0</v>
      </c>
      <c r="AF39" s="36">
        <f>G39*(1-0.9345)</f>
        <v>0</v>
      </c>
      <c r="AG39" s="32" t="s">
        <v>7</v>
      </c>
      <c r="AM39" s="36">
        <f>F39*AE39</f>
        <v>0</v>
      </c>
      <c r="AN39" s="36">
        <f>F39*AF39</f>
        <v>0</v>
      </c>
      <c r="AO39" s="37" t="s">
        <v>250</v>
      </c>
      <c r="AP39" s="37" t="s">
        <v>259</v>
      </c>
      <c r="AQ39" s="27" t="s">
        <v>262</v>
      </c>
      <c r="AS39" s="36">
        <f>AM39+AN39</f>
        <v>0</v>
      </c>
      <c r="AT39" s="36">
        <f>G39/(100-AU39)*100</f>
        <v>0</v>
      </c>
      <c r="AU39" s="36">
        <v>0</v>
      </c>
      <c r="AV39" s="36">
        <f>L39</f>
        <v>0.003294</v>
      </c>
    </row>
    <row r="40" spans="1:48" ht="12.75">
      <c r="A40" s="5" t="s">
        <v>25</v>
      </c>
      <c r="B40" s="5"/>
      <c r="C40" s="5" t="s">
        <v>87</v>
      </c>
      <c r="D40" s="5" t="s">
        <v>159</v>
      </c>
      <c r="E40" s="5" t="s">
        <v>207</v>
      </c>
      <c r="F40" s="18">
        <v>5.4</v>
      </c>
      <c r="G40" s="101">
        <v>0</v>
      </c>
      <c r="H40" s="18">
        <f>F40*AE40</f>
        <v>0</v>
      </c>
      <c r="I40" s="18">
        <f>J40-H40</f>
        <v>0</v>
      </c>
      <c r="J40" s="18">
        <f>F40*G40</f>
        <v>0</v>
      </c>
      <c r="K40" s="18">
        <v>0.12966</v>
      </c>
      <c r="L40" s="18">
        <f>F40*K40</f>
        <v>0.700164</v>
      </c>
      <c r="M40" s="32" t="s">
        <v>229</v>
      </c>
      <c r="P40" s="36">
        <f>IF(AG40="5",J40,0)</f>
        <v>0</v>
      </c>
      <c r="R40" s="36">
        <f>IF(AG40="1",H40,0)</f>
        <v>0</v>
      </c>
      <c r="S40" s="36">
        <f>IF(AG40="1",I40,0)</f>
        <v>0</v>
      </c>
      <c r="T40" s="36">
        <f>IF(AG40="7",H40,0)</f>
        <v>0</v>
      </c>
      <c r="U40" s="36">
        <f>IF(AG40="7",I40,0)</f>
        <v>0</v>
      </c>
      <c r="V40" s="36">
        <f>IF(AG40="2",H40,0)</f>
        <v>0</v>
      </c>
      <c r="W40" s="36">
        <f>IF(AG40="2",I40,0)</f>
        <v>0</v>
      </c>
      <c r="X40" s="36">
        <f>IF(AG40="0",J40,0)</f>
        <v>0</v>
      </c>
      <c r="Y40" s="27"/>
      <c r="Z40" s="18">
        <f>IF(AD40=0,J40,0)</f>
        <v>0</v>
      </c>
      <c r="AA40" s="18">
        <f>IF(AD40=15,J40,0)</f>
        <v>0</v>
      </c>
      <c r="AB40" s="18">
        <f>IF(AD40=21,J40,0)</f>
        <v>0</v>
      </c>
      <c r="AD40" s="36">
        <v>21</v>
      </c>
      <c r="AE40" s="36">
        <f>G40*0.606449756888169</f>
        <v>0</v>
      </c>
      <c r="AF40" s="36">
        <f>G40*(1-0.606449756888169)</f>
        <v>0</v>
      </c>
      <c r="AG40" s="32" t="s">
        <v>7</v>
      </c>
      <c r="AM40" s="36">
        <f>F40*AE40</f>
        <v>0</v>
      </c>
      <c r="AN40" s="36">
        <f>F40*AF40</f>
        <v>0</v>
      </c>
      <c r="AO40" s="37" t="s">
        <v>250</v>
      </c>
      <c r="AP40" s="37" t="s">
        <v>259</v>
      </c>
      <c r="AQ40" s="27" t="s">
        <v>262</v>
      </c>
      <c r="AS40" s="36">
        <f>AM40+AN40</f>
        <v>0</v>
      </c>
      <c r="AT40" s="36">
        <f>G40/(100-AU40)*100</f>
        <v>0</v>
      </c>
      <c r="AU40" s="36">
        <v>0</v>
      </c>
      <c r="AV40" s="36">
        <f>L40</f>
        <v>0.700164</v>
      </c>
    </row>
    <row r="41" spans="1:48" ht="12.75">
      <c r="A41" s="5" t="s">
        <v>26</v>
      </c>
      <c r="B41" s="5"/>
      <c r="C41" s="5" t="s">
        <v>322</v>
      </c>
      <c r="D41" s="5" t="s">
        <v>323</v>
      </c>
      <c r="E41" s="5" t="s">
        <v>207</v>
      </c>
      <c r="F41" s="18">
        <v>4.2</v>
      </c>
      <c r="G41" s="101">
        <v>0</v>
      </c>
      <c r="H41" s="18">
        <f>F41*AE41</f>
        <v>0</v>
      </c>
      <c r="I41" s="18">
        <f>J41-H41</f>
        <v>0</v>
      </c>
      <c r="J41" s="18">
        <f>F41*G41</f>
        <v>0</v>
      </c>
      <c r="K41" s="18">
        <v>0.00561</v>
      </c>
      <c r="L41" s="18">
        <f>F41*K41</f>
        <v>0.023562000000000003</v>
      </c>
      <c r="M41" s="32" t="s">
        <v>229</v>
      </c>
      <c r="P41" s="36">
        <f>IF(AG41="5",J41,0)</f>
        <v>0</v>
      </c>
      <c r="R41" s="36">
        <f>IF(AG41="1",H41,0)</f>
        <v>0</v>
      </c>
      <c r="S41" s="36">
        <f>IF(AG41="1",I41,0)</f>
        <v>0</v>
      </c>
      <c r="T41" s="36">
        <f>IF(AG41="7",H41,0)</f>
        <v>0</v>
      </c>
      <c r="U41" s="36">
        <f>IF(AG41="7",I41,0)</f>
        <v>0</v>
      </c>
      <c r="V41" s="36">
        <f>IF(AG41="2",H41,0)</f>
        <v>0</v>
      </c>
      <c r="W41" s="36">
        <f>IF(AG41="2",I41,0)</f>
        <v>0</v>
      </c>
      <c r="X41" s="36">
        <f>IF(AG41="0",J41,0)</f>
        <v>0</v>
      </c>
      <c r="Y41" s="27"/>
      <c r="Z41" s="18">
        <f>IF(AD41=0,J41,0)</f>
        <v>0</v>
      </c>
      <c r="AA41" s="18">
        <f>IF(AD41=15,J41,0)</f>
        <v>0</v>
      </c>
      <c r="AB41" s="18">
        <f>IF(AD41=21,J41,0)</f>
        <v>0</v>
      </c>
      <c r="AD41" s="36">
        <v>21</v>
      </c>
      <c r="AE41" s="36">
        <f>G41*0.861241379310345</f>
        <v>0</v>
      </c>
      <c r="AF41" s="36">
        <f>G41*(1-0.861241379310345)</f>
        <v>0</v>
      </c>
      <c r="AG41" s="32" t="s">
        <v>7</v>
      </c>
      <c r="AM41" s="36">
        <f>F41*AE41</f>
        <v>0</v>
      </c>
      <c r="AN41" s="36">
        <f>F41*AF41</f>
        <v>0</v>
      </c>
      <c r="AO41" s="37" t="s">
        <v>250</v>
      </c>
      <c r="AP41" s="37" t="s">
        <v>259</v>
      </c>
      <c r="AQ41" s="27" t="s">
        <v>262</v>
      </c>
      <c r="AS41" s="36">
        <f>AM41+AN41</f>
        <v>0</v>
      </c>
      <c r="AT41" s="36">
        <f>G41/(100-AU41)*100</f>
        <v>0</v>
      </c>
      <c r="AU41" s="36">
        <v>0</v>
      </c>
      <c r="AV41" s="36">
        <f>L41</f>
        <v>0.023562000000000003</v>
      </c>
    </row>
    <row r="42" spans="1:37" ht="12.75">
      <c r="A42" s="6"/>
      <c r="B42" s="14"/>
      <c r="C42" s="14" t="s">
        <v>88</v>
      </c>
      <c r="D42" s="14" t="s">
        <v>160</v>
      </c>
      <c r="E42" s="6" t="s">
        <v>6</v>
      </c>
      <c r="F42" s="6" t="s">
        <v>6</v>
      </c>
      <c r="G42" s="6"/>
      <c r="H42" s="39">
        <f>SUM(H43:H46)</f>
        <v>5657.842590604028</v>
      </c>
      <c r="I42" s="39">
        <f>SUM(I43:I46)</f>
        <v>6118.617409395973</v>
      </c>
      <c r="J42" s="39">
        <f>H42+I42</f>
        <v>11776.460000000001</v>
      </c>
      <c r="K42" s="27"/>
      <c r="L42" s="39">
        <f>SUM(L43:L46)</f>
        <v>2.4596799999999996</v>
      </c>
      <c r="M42" s="27"/>
      <c r="Y42" s="27"/>
      <c r="AI42" s="39">
        <f>SUM(Z43:Z46)</f>
        <v>0</v>
      </c>
      <c r="AJ42" s="39">
        <f>SUM(AA43:AA46)</f>
        <v>0</v>
      </c>
      <c r="AK42" s="39">
        <f>SUM(AB43:AB46)</f>
        <v>11776.460000000001</v>
      </c>
    </row>
    <row r="43" spans="1:48" ht="12.75">
      <c r="A43" s="5" t="s">
        <v>27</v>
      </c>
      <c r="B43" s="5"/>
      <c r="C43" s="5" t="s">
        <v>89</v>
      </c>
      <c r="D43" s="5" t="s">
        <v>161</v>
      </c>
      <c r="E43" s="5" t="s">
        <v>207</v>
      </c>
      <c r="F43" s="18">
        <v>15.4</v>
      </c>
      <c r="G43" s="101">
        <v>479</v>
      </c>
      <c r="H43" s="18">
        <f>F43*AE43</f>
        <v>1257.982590604028</v>
      </c>
      <c r="I43" s="18">
        <f>J43-H43</f>
        <v>6118.617409395973</v>
      </c>
      <c r="J43" s="18">
        <f>F43*G43</f>
        <v>7376.6</v>
      </c>
      <c r="K43" s="18">
        <v>0.0739</v>
      </c>
      <c r="L43" s="18">
        <f>F43*K43</f>
        <v>1.1380599999999998</v>
      </c>
      <c r="M43" s="32" t="s">
        <v>229</v>
      </c>
      <c r="P43" s="36">
        <f>IF(AG43="5",J43,0)</f>
        <v>0</v>
      </c>
      <c r="R43" s="36">
        <f>IF(AG43="1",H43,0)</f>
        <v>1257.982590604028</v>
      </c>
      <c r="S43" s="36">
        <f>IF(AG43="1",I43,0)</f>
        <v>6118.617409395973</v>
      </c>
      <c r="T43" s="36">
        <f>IF(AG43="7",H43,0)</f>
        <v>0</v>
      </c>
      <c r="U43" s="36">
        <f>IF(AG43="7",I43,0)</f>
        <v>0</v>
      </c>
      <c r="V43" s="36">
        <f>IF(AG43="2",H43,0)</f>
        <v>0</v>
      </c>
      <c r="W43" s="36">
        <f>IF(AG43="2",I43,0)</f>
        <v>0</v>
      </c>
      <c r="X43" s="36">
        <f>IF(AG43="0",J43,0)</f>
        <v>0</v>
      </c>
      <c r="Y43" s="27"/>
      <c r="Z43" s="18">
        <f>IF(AD43=0,J43,0)</f>
        <v>0</v>
      </c>
      <c r="AA43" s="18">
        <f>IF(AD43=15,J43,0)</f>
        <v>0</v>
      </c>
      <c r="AB43" s="18">
        <f>IF(AD43=21,J43,0)</f>
        <v>7376.6</v>
      </c>
      <c r="AD43" s="36">
        <v>21</v>
      </c>
      <c r="AE43" s="36">
        <f>G43*0.170536912751678</f>
        <v>81.68718120805377</v>
      </c>
      <c r="AF43" s="36">
        <f>G43*(1-0.170536912751678)</f>
        <v>397.3128187919462</v>
      </c>
      <c r="AG43" s="32" t="s">
        <v>7</v>
      </c>
      <c r="AM43" s="36">
        <f>F43*AE43</f>
        <v>1257.982590604028</v>
      </c>
      <c r="AN43" s="36">
        <f>F43*AF43</f>
        <v>6118.617409395972</v>
      </c>
      <c r="AO43" s="37" t="s">
        <v>251</v>
      </c>
      <c r="AP43" s="37" t="s">
        <v>259</v>
      </c>
      <c r="AQ43" s="27" t="s">
        <v>262</v>
      </c>
      <c r="AS43" s="36">
        <f>AM43+AN43</f>
        <v>7376.599999999999</v>
      </c>
      <c r="AT43" s="36">
        <f>G43/(100-AU43)*100</f>
        <v>479</v>
      </c>
      <c r="AU43" s="36">
        <v>0</v>
      </c>
      <c r="AV43" s="36">
        <f>L43</f>
        <v>1.1380599999999998</v>
      </c>
    </row>
    <row r="44" spans="1:48" ht="12.75">
      <c r="A44" s="7" t="s">
        <v>28</v>
      </c>
      <c r="B44" s="7"/>
      <c r="C44" s="7" t="s">
        <v>90</v>
      </c>
      <c r="D44" s="7" t="s">
        <v>162</v>
      </c>
      <c r="E44" s="7" t="s">
        <v>207</v>
      </c>
      <c r="F44" s="19">
        <v>2.34</v>
      </c>
      <c r="G44" s="102">
        <v>409</v>
      </c>
      <c r="H44" s="19">
        <f>F44*AE44</f>
        <v>957.06</v>
      </c>
      <c r="I44" s="19">
        <f>J44-H44</f>
        <v>0</v>
      </c>
      <c r="J44" s="19">
        <f>F44*G44</f>
        <v>957.06</v>
      </c>
      <c r="K44" s="19">
        <v>0.188</v>
      </c>
      <c r="L44" s="19">
        <f>F44*K44</f>
        <v>0.43992</v>
      </c>
      <c r="M44" s="33" t="s">
        <v>229</v>
      </c>
      <c r="P44" s="36">
        <f>IF(AG44="5",J44,0)</f>
        <v>0</v>
      </c>
      <c r="R44" s="36">
        <f>IF(AG44="1",H44,0)</f>
        <v>957.06</v>
      </c>
      <c r="S44" s="36">
        <f>IF(AG44="1",I44,0)</f>
        <v>0</v>
      </c>
      <c r="T44" s="36">
        <f>IF(AG44="7",H44,0)</f>
        <v>0</v>
      </c>
      <c r="U44" s="36">
        <f>IF(AG44="7",I44,0)</f>
        <v>0</v>
      </c>
      <c r="V44" s="36">
        <f>IF(AG44="2",H44,0)</f>
        <v>0</v>
      </c>
      <c r="W44" s="36">
        <f>IF(AG44="2",I44,0)</f>
        <v>0</v>
      </c>
      <c r="X44" s="36">
        <f>IF(AG44="0",J44,0)</f>
        <v>0</v>
      </c>
      <c r="Y44" s="27"/>
      <c r="Z44" s="19">
        <f>IF(AD44=0,J44,0)</f>
        <v>0</v>
      </c>
      <c r="AA44" s="19">
        <f>IF(AD44=15,J44,0)</f>
        <v>0</v>
      </c>
      <c r="AB44" s="19">
        <f>IF(AD44=21,J44,0)</f>
        <v>957.06</v>
      </c>
      <c r="AD44" s="36">
        <v>21</v>
      </c>
      <c r="AE44" s="36">
        <f>G44*1</f>
        <v>409</v>
      </c>
      <c r="AF44" s="36">
        <f>G44*(1-1)</f>
        <v>0</v>
      </c>
      <c r="AG44" s="33" t="s">
        <v>7</v>
      </c>
      <c r="AM44" s="36">
        <f>F44*AE44</f>
        <v>957.06</v>
      </c>
      <c r="AN44" s="36">
        <f>F44*AF44</f>
        <v>0</v>
      </c>
      <c r="AO44" s="37" t="s">
        <v>251</v>
      </c>
      <c r="AP44" s="37" t="s">
        <v>259</v>
      </c>
      <c r="AQ44" s="27" t="s">
        <v>262</v>
      </c>
      <c r="AS44" s="36">
        <f>AM44+AN44</f>
        <v>957.06</v>
      </c>
      <c r="AT44" s="36">
        <f>G44/(100-AU44)*100</f>
        <v>409</v>
      </c>
      <c r="AU44" s="36">
        <v>0</v>
      </c>
      <c r="AV44" s="36">
        <f>L44</f>
        <v>0.43992</v>
      </c>
    </row>
    <row r="45" spans="1:48" ht="12.75">
      <c r="A45" s="7" t="s">
        <v>29</v>
      </c>
      <c r="B45" s="7"/>
      <c r="C45" s="7" t="s">
        <v>92</v>
      </c>
      <c r="D45" s="7" t="s">
        <v>164</v>
      </c>
      <c r="E45" s="7" t="s">
        <v>207</v>
      </c>
      <c r="F45" s="19">
        <v>0.3</v>
      </c>
      <c r="G45" s="102">
        <v>409</v>
      </c>
      <c r="H45" s="19">
        <f>F45*AE45</f>
        <v>122.69999999999999</v>
      </c>
      <c r="I45" s="19">
        <f>J45-H45</f>
        <v>0</v>
      </c>
      <c r="J45" s="19">
        <f>F45*G45</f>
        <v>122.69999999999999</v>
      </c>
      <c r="K45" s="19">
        <v>0.188</v>
      </c>
      <c r="L45" s="19">
        <f>F45*K45</f>
        <v>0.0564</v>
      </c>
      <c r="M45" s="33" t="s">
        <v>229</v>
      </c>
      <c r="P45" s="36">
        <f>IF(AG45="5",J45,0)</f>
        <v>0</v>
      </c>
      <c r="R45" s="36">
        <f>IF(AG45="1",H45,0)</f>
        <v>122.69999999999999</v>
      </c>
      <c r="S45" s="36">
        <f>IF(AG45="1",I45,0)</f>
        <v>0</v>
      </c>
      <c r="T45" s="36">
        <f>IF(AG45="7",H45,0)</f>
        <v>0</v>
      </c>
      <c r="U45" s="36">
        <f>IF(AG45="7",I45,0)</f>
        <v>0</v>
      </c>
      <c r="V45" s="36">
        <f>IF(AG45="2",H45,0)</f>
        <v>0</v>
      </c>
      <c r="W45" s="36">
        <f>IF(AG45="2",I45,0)</f>
        <v>0</v>
      </c>
      <c r="X45" s="36">
        <f>IF(AG45="0",J45,0)</f>
        <v>0</v>
      </c>
      <c r="Y45" s="27"/>
      <c r="Z45" s="19">
        <f>IF(AD45=0,J45,0)</f>
        <v>0</v>
      </c>
      <c r="AA45" s="19">
        <f>IF(AD45=15,J45,0)</f>
        <v>0</v>
      </c>
      <c r="AB45" s="19">
        <f>IF(AD45=21,J45,0)</f>
        <v>122.69999999999999</v>
      </c>
      <c r="AD45" s="36">
        <v>21</v>
      </c>
      <c r="AE45" s="36">
        <f>G45*1</f>
        <v>409</v>
      </c>
      <c r="AF45" s="36">
        <f>G45*(1-1)</f>
        <v>0</v>
      </c>
      <c r="AG45" s="33" t="s">
        <v>7</v>
      </c>
      <c r="AM45" s="36">
        <f>F45*AE45</f>
        <v>122.69999999999999</v>
      </c>
      <c r="AN45" s="36">
        <f>F45*AF45</f>
        <v>0</v>
      </c>
      <c r="AO45" s="37" t="s">
        <v>251</v>
      </c>
      <c r="AP45" s="37" t="s">
        <v>259</v>
      </c>
      <c r="AQ45" s="27" t="s">
        <v>262</v>
      </c>
      <c r="AS45" s="36">
        <f>AM45+AN45</f>
        <v>122.69999999999999</v>
      </c>
      <c r="AT45" s="36">
        <f>G45/(100-AU45)*100</f>
        <v>409</v>
      </c>
      <c r="AU45" s="36">
        <v>0</v>
      </c>
      <c r="AV45" s="36">
        <f>L45</f>
        <v>0.0564</v>
      </c>
    </row>
    <row r="46" spans="1:48" ht="12.75">
      <c r="A46" s="7" t="s">
        <v>30</v>
      </c>
      <c r="B46" s="7"/>
      <c r="C46" s="7" t="s">
        <v>91</v>
      </c>
      <c r="D46" s="7" t="s">
        <v>324</v>
      </c>
      <c r="E46" s="7" t="s">
        <v>207</v>
      </c>
      <c r="F46" s="19">
        <v>6.3</v>
      </c>
      <c r="G46" s="102">
        <v>527</v>
      </c>
      <c r="H46" s="19">
        <f>F46*AE46</f>
        <v>3320.1</v>
      </c>
      <c r="I46" s="19">
        <f>J46-H46</f>
        <v>0</v>
      </c>
      <c r="J46" s="19">
        <f>F46*G46</f>
        <v>3320.1</v>
      </c>
      <c r="K46" s="19">
        <v>0.131</v>
      </c>
      <c r="L46" s="19">
        <f>F46*K46</f>
        <v>0.8253</v>
      </c>
      <c r="M46" s="33" t="s">
        <v>229</v>
      </c>
      <c r="P46" s="36">
        <f>IF(AG46="5",J46,0)</f>
        <v>0</v>
      </c>
      <c r="R46" s="36">
        <f>IF(AG46="1",H46,0)</f>
        <v>3320.1</v>
      </c>
      <c r="S46" s="36">
        <f>IF(AG46="1",I46,0)</f>
        <v>0</v>
      </c>
      <c r="T46" s="36">
        <f>IF(AG46="7",H46,0)</f>
        <v>0</v>
      </c>
      <c r="U46" s="36">
        <f>IF(AG46="7",I46,0)</f>
        <v>0</v>
      </c>
      <c r="V46" s="36">
        <f>IF(AG46="2",H46,0)</f>
        <v>0</v>
      </c>
      <c r="W46" s="36">
        <f>IF(AG46="2",I46,0)</f>
        <v>0</v>
      </c>
      <c r="X46" s="36">
        <f>IF(AG46="0",J46,0)</f>
        <v>0</v>
      </c>
      <c r="Y46" s="27"/>
      <c r="Z46" s="19">
        <f>IF(AD46=0,J46,0)</f>
        <v>0</v>
      </c>
      <c r="AA46" s="19">
        <f>IF(AD46=15,J46,0)</f>
        <v>0</v>
      </c>
      <c r="AB46" s="19">
        <f>IF(AD46=21,J46,0)</f>
        <v>3320.1</v>
      </c>
      <c r="AD46" s="36">
        <v>21</v>
      </c>
      <c r="AE46" s="36">
        <f>G46*1</f>
        <v>527</v>
      </c>
      <c r="AF46" s="36">
        <f>G46*(1-1)</f>
        <v>0</v>
      </c>
      <c r="AG46" s="33" t="s">
        <v>7</v>
      </c>
      <c r="AM46" s="36">
        <f>F46*AE46</f>
        <v>3320.1</v>
      </c>
      <c r="AN46" s="36">
        <f>F46*AF46</f>
        <v>0</v>
      </c>
      <c r="AO46" s="37" t="s">
        <v>251</v>
      </c>
      <c r="AP46" s="37" t="s">
        <v>259</v>
      </c>
      <c r="AQ46" s="27" t="s">
        <v>262</v>
      </c>
      <c r="AS46" s="36">
        <f>AM46+AN46</f>
        <v>3320.1</v>
      </c>
      <c r="AT46" s="36">
        <f>G46/(100-AU46)*100</f>
        <v>527</v>
      </c>
      <c r="AU46" s="36">
        <v>0</v>
      </c>
      <c r="AV46" s="36">
        <f>L46</f>
        <v>0.8253</v>
      </c>
    </row>
    <row r="47" spans="1:37" ht="12.75">
      <c r="A47" s="6"/>
      <c r="B47" s="14"/>
      <c r="C47" s="14" t="s">
        <v>95</v>
      </c>
      <c r="D47" s="14" t="s">
        <v>167</v>
      </c>
      <c r="E47" s="6" t="s">
        <v>6</v>
      </c>
      <c r="F47" s="6" t="s">
        <v>6</v>
      </c>
      <c r="G47" s="6"/>
      <c r="H47" s="39">
        <f>SUM(H48:H49)</f>
        <v>77.71827586206899</v>
      </c>
      <c r="I47" s="39">
        <f>SUM(I48:I49)</f>
        <v>76.28172413793101</v>
      </c>
      <c r="J47" s="39">
        <f>H47+I47</f>
        <v>154</v>
      </c>
      <c r="K47" s="27"/>
      <c r="L47" s="39">
        <f>SUM(L48:L49)</f>
        <v>0.0002</v>
      </c>
      <c r="M47" s="27"/>
      <c r="Y47" s="27"/>
      <c r="AI47" s="39">
        <f>SUM(Z48:Z49)</f>
        <v>0</v>
      </c>
      <c r="AJ47" s="39">
        <f>SUM(AA48:AA49)</f>
        <v>0</v>
      </c>
      <c r="AK47" s="39">
        <f>SUM(AB48:AB49)</f>
        <v>154</v>
      </c>
    </row>
    <row r="48" spans="1:48" ht="12.75">
      <c r="A48" s="5" t="s">
        <v>31</v>
      </c>
      <c r="B48" s="5"/>
      <c r="C48" s="5" t="s">
        <v>96</v>
      </c>
      <c r="D48" s="5" t="s">
        <v>168</v>
      </c>
      <c r="E48" s="5" t="s">
        <v>207</v>
      </c>
      <c r="F48" s="18">
        <v>1</v>
      </c>
      <c r="G48" s="101">
        <v>95</v>
      </c>
      <c r="H48" s="18">
        <f>F48*AE48</f>
        <v>18.718275862068996</v>
      </c>
      <c r="I48" s="18">
        <f>J48-H48</f>
        <v>76.28172413793101</v>
      </c>
      <c r="J48" s="18">
        <f>F48*G48</f>
        <v>95</v>
      </c>
      <c r="K48" s="18">
        <v>0</v>
      </c>
      <c r="L48" s="18">
        <f>F48*K48</f>
        <v>0</v>
      </c>
      <c r="M48" s="32" t="s">
        <v>229</v>
      </c>
      <c r="P48" s="36">
        <f>IF(AG48="5",J48,0)</f>
        <v>0</v>
      </c>
      <c r="R48" s="36">
        <f>IF(AG48="1",H48,0)</f>
        <v>0</v>
      </c>
      <c r="S48" s="36">
        <f>IF(AG48="1",I48,0)</f>
        <v>0</v>
      </c>
      <c r="T48" s="36">
        <f>IF(AG48="7",H48,0)</f>
        <v>18.718275862068996</v>
      </c>
      <c r="U48" s="36">
        <f>IF(AG48="7",I48,0)</f>
        <v>76.28172413793101</v>
      </c>
      <c r="V48" s="36">
        <f>IF(AG48="2",H48,0)</f>
        <v>0</v>
      </c>
      <c r="W48" s="36">
        <f>IF(AG48="2",I48,0)</f>
        <v>0</v>
      </c>
      <c r="X48" s="36">
        <f>IF(AG48="0",J48,0)</f>
        <v>0</v>
      </c>
      <c r="Y48" s="27"/>
      <c r="Z48" s="18">
        <f>IF(AD48=0,J48,0)</f>
        <v>0</v>
      </c>
      <c r="AA48" s="18">
        <f>IF(AD48=15,J48,0)</f>
        <v>0</v>
      </c>
      <c r="AB48" s="18">
        <f>IF(AD48=21,J48,0)</f>
        <v>95</v>
      </c>
      <c r="AD48" s="36">
        <v>21</v>
      </c>
      <c r="AE48" s="36">
        <f>G48*0.197034482758621</f>
        <v>18.718275862068996</v>
      </c>
      <c r="AF48" s="36">
        <f>G48*(1-0.197034482758621)</f>
        <v>76.28172413793101</v>
      </c>
      <c r="AG48" s="32" t="s">
        <v>13</v>
      </c>
      <c r="AM48" s="36">
        <f>F48*AE48</f>
        <v>18.718275862068996</v>
      </c>
      <c r="AN48" s="36">
        <f>F48*AF48</f>
        <v>76.28172413793101</v>
      </c>
      <c r="AO48" s="37" t="s">
        <v>252</v>
      </c>
      <c r="AP48" s="37" t="s">
        <v>260</v>
      </c>
      <c r="AQ48" s="27" t="s">
        <v>262</v>
      </c>
      <c r="AS48" s="36">
        <f>AM48+AN48</f>
        <v>95</v>
      </c>
      <c r="AT48" s="36">
        <f>G48/(100-AU48)*100</f>
        <v>95</v>
      </c>
      <c r="AU48" s="36">
        <v>0</v>
      </c>
      <c r="AV48" s="36">
        <f>L48</f>
        <v>0</v>
      </c>
    </row>
    <row r="49" spans="1:48" ht="12.75">
      <c r="A49" s="7" t="s">
        <v>32</v>
      </c>
      <c r="B49" s="7"/>
      <c r="C49" s="7" t="s">
        <v>97</v>
      </c>
      <c r="D49" s="7" t="s">
        <v>169</v>
      </c>
      <c r="E49" s="7" t="s">
        <v>207</v>
      </c>
      <c r="F49" s="19">
        <v>1</v>
      </c>
      <c r="G49" s="102">
        <v>59</v>
      </c>
      <c r="H49" s="19">
        <f>F49*AE49</f>
        <v>59</v>
      </c>
      <c r="I49" s="19">
        <f>J49-H49</f>
        <v>0</v>
      </c>
      <c r="J49" s="19">
        <f>F49*G49</f>
        <v>59</v>
      </c>
      <c r="K49" s="19">
        <v>0.0002</v>
      </c>
      <c r="L49" s="19">
        <f>F49*K49</f>
        <v>0.0002</v>
      </c>
      <c r="M49" s="33" t="s">
        <v>229</v>
      </c>
      <c r="P49" s="36">
        <f>IF(AG49="5",J49,0)</f>
        <v>0</v>
      </c>
      <c r="R49" s="36">
        <f>IF(AG49="1",H49,0)</f>
        <v>0</v>
      </c>
      <c r="S49" s="36">
        <f>IF(AG49="1",I49,0)</f>
        <v>0</v>
      </c>
      <c r="T49" s="36">
        <f>IF(AG49="7",H49,0)</f>
        <v>59</v>
      </c>
      <c r="U49" s="36">
        <f>IF(AG49="7",I49,0)</f>
        <v>0</v>
      </c>
      <c r="V49" s="36">
        <f>IF(AG49="2",H49,0)</f>
        <v>0</v>
      </c>
      <c r="W49" s="36">
        <f>IF(AG49="2",I49,0)</f>
        <v>0</v>
      </c>
      <c r="X49" s="36">
        <f>IF(AG49="0",J49,0)</f>
        <v>0</v>
      </c>
      <c r="Y49" s="27"/>
      <c r="Z49" s="19">
        <f>IF(AD49=0,J49,0)</f>
        <v>0</v>
      </c>
      <c r="AA49" s="19">
        <f>IF(AD49=15,J49,0)</f>
        <v>0</v>
      </c>
      <c r="AB49" s="19">
        <f>IF(AD49=21,J49,0)</f>
        <v>59</v>
      </c>
      <c r="AD49" s="36">
        <v>21</v>
      </c>
      <c r="AE49" s="36">
        <f>G49*1</f>
        <v>59</v>
      </c>
      <c r="AF49" s="36">
        <f>G49*(1-1)</f>
        <v>0</v>
      </c>
      <c r="AG49" s="33" t="s">
        <v>13</v>
      </c>
      <c r="AM49" s="36">
        <f>F49*AE49</f>
        <v>59</v>
      </c>
      <c r="AN49" s="36">
        <f>F49*AF49</f>
        <v>0</v>
      </c>
      <c r="AO49" s="37" t="s">
        <v>252</v>
      </c>
      <c r="AP49" s="37" t="s">
        <v>260</v>
      </c>
      <c r="AQ49" s="27" t="s">
        <v>262</v>
      </c>
      <c r="AS49" s="36">
        <f>AM49+AN49</f>
        <v>59</v>
      </c>
      <c r="AT49" s="36">
        <f>G49/(100-AU49)*100</f>
        <v>59</v>
      </c>
      <c r="AU49" s="36">
        <v>0</v>
      </c>
      <c r="AV49" s="36">
        <f>L49</f>
        <v>0.0002</v>
      </c>
    </row>
    <row r="50" spans="1:37" ht="12.75">
      <c r="A50" s="6"/>
      <c r="B50" s="14"/>
      <c r="C50" s="14" t="s">
        <v>98</v>
      </c>
      <c r="D50" s="14" t="s">
        <v>170</v>
      </c>
      <c r="E50" s="6" t="s">
        <v>6</v>
      </c>
      <c r="F50" s="6" t="s">
        <v>6</v>
      </c>
      <c r="G50" s="6"/>
      <c r="H50" s="39">
        <f>SUM(H51:H63)</f>
        <v>23311.932754449983</v>
      </c>
      <c r="I50" s="39">
        <f>SUM(I51:I63)</f>
        <v>8710.067245550017</v>
      </c>
      <c r="J50" s="39">
        <f>H50+I50</f>
        <v>32022</v>
      </c>
      <c r="K50" s="27"/>
      <c r="L50" s="39">
        <f>SUM(L51:L63)</f>
        <v>3.455390000000001</v>
      </c>
      <c r="M50" s="27"/>
      <c r="Y50" s="27"/>
      <c r="AI50" s="39">
        <f>SUM(Z51:Z63)</f>
        <v>0</v>
      </c>
      <c r="AJ50" s="39">
        <f>SUM(AA51:AA63)</f>
        <v>0</v>
      </c>
      <c r="AK50" s="39">
        <f>SUM(AB51:AB63)</f>
        <v>32022</v>
      </c>
    </row>
    <row r="51" spans="1:48" ht="12.75">
      <c r="A51" s="5" t="s">
        <v>33</v>
      </c>
      <c r="B51" s="5"/>
      <c r="C51" s="5" t="s">
        <v>99</v>
      </c>
      <c r="D51" s="5" t="s">
        <v>171</v>
      </c>
      <c r="E51" s="5" t="s">
        <v>206</v>
      </c>
      <c r="F51" s="18">
        <v>10</v>
      </c>
      <c r="G51" s="101">
        <v>866</v>
      </c>
      <c r="H51" s="18">
        <f aca="true" t="shared" si="0" ref="H51:H63">F51*AE51</f>
        <v>4286.106849315067</v>
      </c>
      <c r="I51" s="18">
        <f aca="true" t="shared" si="1" ref="I51:I63">J51-H51</f>
        <v>4373.893150684933</v>
      </c>
      <c r="J51" s="18">
        <f aca="true" t="shared" si="2" ref="J51:J63">F51*G51</f>
        <v>8660</v>
      </c>
      <c r="K51" s="18">
        <v>0.18806</v>
      </c>
      <c r="L51" s="18">
        <f aca="true" t="shared" si="3" ref="L51:L63">F51*K51</f>
        <v>1.8806</v>
      </c>
      <c r="M51" s="32" t="s">
        <v>229</v>
      </c>
      <c r="P51" s="36">
        <f aca="true" t="shared" si="4" ref="P51:P63">IF(AG51="5",J51,0)</f>
        <v>0</v>
      </c>
      <c r="R51" s="36">
        <f aca="true" t="shared" si="5" ref="R51:R63">IF(AG51="1",H51,0)</f>
        <v>4286.106849315067</v>
      </c>
      <c r="S51" s="36">
        <f aca="true" t="shared" si="6" ref="S51:S63">IF(AG51="1",I51,0)</f>
        <v>4373.893150684933</v>
      </c>
      <c r="T51" s="36">
        <f aca="true" t="shared" si="7" ref="T51:T63">IF(AG51="7",H51,0)</f>
        <v>0</v>
      </c>
      <c r="U51" s="36">
        <f aca="true" t="shared" si="8" ref="U51:U63">IF(AG51="7",I51,0)</f>
        <v>0</v>
      </c>
      <c r="V51" s="36">
        <f aca="true" t="shared" si="9" ref="V51:V63">IF(AG51="2",H51,0)</f>
        <v>0</v>
      </c>
      <c r="W51" s="36">
        <f aca="true" t="shared" si="10" ref="W51:W63">IF(AG51="2",I51,0)</f>
        <v>0</v>
      </c>
      <c r="X51" s="36">
        <f aca="true" t="shared" si="11" ref="X51:X63">IF(AG51="0",J51,0)</f>
        <v>0</v>
      </c>
      <c r="Y51" s="27"/>
      <c r="Z51" s="18">
        <f aca="true" t="shared" si="12" ref="Z51:Z63">IF(AD51=0,J51,0)</f>
        <v>0</v>
      </c>
      <c r="AA51" s="18">
        <f aca="true" t="shared" si="13" ref="AA51:AA63">IF(AD51=15,J51,0)</f>
        <v>0</v>
      </c>
      <c r="AB51" s="18">
        <f aca="true" t="shared" si="14" ref="AB51:AB63">IF(AD51=21,J51,0)</f>
        <v>8660</v>
      </c>
      <c r="AD51" s="36">
        <v>21</v>
      </c>
      <c r="AE51" s="36">
        <f>G51*0.494931506849315</f>
        <v>428.61068493150674</v>
      </c>
      <c r="AF51" s="36">
        <f>G51*(1-0.494931506849315)</f>
        <v>437.38931506849326</v>
      </c>
      <c r="AG51" s="32" t="s">
        <v>7</v>
      </c>
      <c r="AM51" s="36">
        <f aca="true" t="shared" si="15" ref="AM51:AM63">F51*AE51</f>
        <v>4286.106849315067</v>
      </c>
      <c r="AN51" s="36">
        <f aca="true" t="shared" si="16" ref="AN51:AN63">F51*AF51</f>
        <v>4373.893150684933</v>
      </c>
      <c r="AO51" s="37" t="s">
        <v>253</v>
      </c>
      <c r="AP51" s="37" t="s">
        <v>261</v>
      </c>
      <c r="AQ51" s="27" t="s">
        <v>262</v>
      </c>
      <c r="AS51" s="36">
        <f aca="true" t="shared" si="17" ref="AS51:AS63">AM51+AN51</f>
        <v>8660</v>
      </c>
      <c r="AT51" s="36">
        <f aca="true" t="shared" si="18" ref="AT51:AT63">G51/(100-AU51)*100</f>
        <v>866</v>
      </c>
      <c r="AU51" s="36">
        <v>0</v>
      </c>
      <c r="AV51" s="36">
        <f aca="true" t="shared" si="19" ref="AV51:AV63">L51</f>
        <v>1.8806</v>
      </c>
    </row>
    <row r="52" spans="1:48" ht="12.75">
      <c r="A52" s="5" t="s">
        <v>34</v>
      </c>
      <c r="B52" s="5"/>
      <c r="C52" s="5" t="s">
        <v>100</v>
      </c>
      <c r="D52" s="5" t="s">
        <v>172</v>
      </c>
      <c r="E52" s="5" t="s">
        <v>206</v>
      </c>
      <c r="F52" s="18">
        <v>12</v>
      </c>
      <c r="G52" s="101">
        <v>235</v>
      </c>
      <c r="H52" s="18">
        <f t="shared" si="0"/>
        <v>1836.4992700729936</v>
      </c>
      <c r="I52" s="18">
        <f t="shared" si="1"/>
        <v>983.5007299270064</v>
      </c>
      <c r="J52" s="18">
        <f t="shared" si="2"/>
        <v>2820</v>
      </c>
      <c r="K52" s="18">
        <v>0</v>
      </c>
      <c r="L52" s="18">
        <f t="shared" si="3"/>
        <v>0</v>
      </c>
      <c r="M52" s="32" t="s">
        <v>229</v>
      </c>
      <c r="P52" s="36">
        <f t="shared" si="4"/>
        <v>0</v>
      </c>
      <c r="R52" s="36">
        <f t="shared" si="5"/>
        <v>1836.4992700729936</v>
      </c>
      <c r="S52" s="36">
        <f t="shared" si="6"/>
        <v>983.5007299270064</v>
      </c>
      <c r="T52" s="36">
        <f t="shared" si="7"/>
        <v>0</v>
      </c>
      <c r="U52" s="36">
        <f t="shared" si="8"/>
        <v>0</v>
      </c>
      <c r="V52" s="36">
        <f t="shared" si="9"/>
        <v>0</v>
      </c>
      <c r="W52" s="36">
        <f t="shared" si="10"/>
        <v>0</v>
      </c>
      <c r="X52" s="36">
        <f t="shared" si="11"/>
        <v>0</v>
      </c>
      <c r="Y52" s="27"/>
      <c r="Z52" s="18">
        <f t="shared" si="12"/>
        <v>0</v>
      </c>
      <c r="AA52" s="18">
        <f t="shared" si="13"/>
        <v>0</v>
      </c>
      <c r="AB52" s="18">
        <f t="shared" si="14"/>
        <v>2820</v>
      </c>
      <c r="AD52" s="36">
        <v>21</v>
      </c>
      <c r="AE52" s="36">
        <f>G52*0.651240875912409</f>
        <v>153.04160583941612</v>
      </c>
      <c r="AF52" s="36">
        <f>G52*(1-0.651240875912409)</f>
        <v>81.9583941605839</v>
      </c>
      <c r="AG52" s="32" t="s">
        <v>7</v>
      </c>
      <c r="AM52" s="36">
        <f t="shared" si="15"/>
        <v>1836.4992700729936</v>
      </c>
      <c r="AN52" s="36">
        <f t="shared" si="16"/>
        <v>983.5007299270067</v>
      </c>
      <c r="AO52" s="37" t="s">
        <v>253</v>
      </c>
      <c r="AP52" s="37" t="s">
        <v>261</v>
      </c>
      <c r="AQ52" s="27" t="s">
        <v>262</v>
      </c>
      <c r="AS52" s="36">
        <f t="shared" si="17"/>
        <v>2820</v>
      </c>
      <c r="AT52" s="36">
        <f t="shared" si="18"/>
        <v>235</v>
      </c>
      <c r="AU52" s="36">
        <v>0</v>
      </c>
      <c r="AV52" s="36">
        <f t="shared" si="19"/>
        <v>0</v>
      </c>
    </row>
    <row r="53" spans="1:48" ht="12.75">
      <c r="A53" s="5" t="s">
        <v>35</v>
      </c>
      <c r="B53" s="5"/>
      <c r="C53" s="5" t="s">
        <v>101</v>
      </c>
      <c r="D53" s="5" t="s">
        <v>173</v>
      </c>
      <c r="E53" s="5" t="s">
        <v>206</v>
      </c>
      <c r="F53" s="18">
        <v>150.2</v>
      </c>
      <c r="G53" s="101">
        <v>0</v>
      </c>
      <c r="H53" s="18">
        <f t="shared" si="0"/>
        <v>0</v>
      </c>
      <c r="I53" s="18">
        <f t="shared" si="1"/>
        <v>0</v>
      </c>
      <c r="J53" s="18">
        <f t="shared" si="2"/>
        <v>0</v>
      </c>
      <c r="K53" s="18">
        <v>0.00035</v>
      </c>
      <c r="L53" s="18">
        <f t="shared" si="3"/>
        <v>0.05257</v>
      </c>
      <c r="M53" s="32" t="s">
        <v>229</v>
      </c>
      <c r="P53" s="36">
        <f t="shared" si="4"/>
        <v>0</v>
      </c>
      <c r="R53" s="36">
        <f t="shared" si="5"/>
        <v>0</v>
      </c>
      <c r="S53" s="36">
        <f t="shared" si="6"/>
        <v>0</v>
      </c>
      <c r="T53" s="36">
        <f t="shared" si="7"/>
        <v>0</v>
      </c>
      <c r="U53" s="36">
        <f t="shared" si="8"/>
        <v>0</v>
      </c>
      <c r="V53" s="36">
        <f t="shared" si="9"/>
        <v>0</v>
      </c>
      <c r="W53" s="36">
        <f t="shared" si="10"/>
        <v>0</v>
      </c>
      <c r="X53" s="36">
        <f t="shared" si="11"/>
        <v>0</v>
      </c>
      <c r="Y53" s="27"/>
      <c r="Z53" s="18">
        <f t="shared" si="12"/>
        <v>0</v>
      </c>
      <c r="AA53" s="18">
        <f t="shared" si="13"/>
        <v>0</v>
      </c>
      <c r="AB53" s="18">
        <f t="shared" si="14"/>
        <v>0</v>
      </c>
      <c r="AD53" s="36">
        <v>21</v>
      </c>
      <c r="AE53" s="36">
        <f>G53*0.644973844553425</f>
        <v>0</v>
      </c>
      <c r="AF53" s="36">
        <f>G53*(1-0.644973844553425)</f>
        <v>0</v>
      </c>
      <c r="AG53" s="32" t="s">
        <v>7</v>
      </c>
      <c r="AM53" s="36">
        <f t="shared" si="15"/>
        <v>0</v>
      </c>
      <c r="AN53" s="36">
        <f t="shared" si="16"/>
        <v>0</v>
      </c>
      <c r="AO53" s="37" t="s">
        <v>253</v>
      </c>
      <c r="AP53" s="37" t="s">
        <v>261</v>
      </c>
      <c r="AQ53" s="27" t="s">
        <v>262</v>
      </c>
      <c r="AS53" s="36">
        <f t="shared" si="17"/>
        <v>0</v>
      </c>
      <c r="AT53" s="36">
        <f t="shared" si="18"/>
        <v>0</v>
      </c>
      <c r="AU53" s="36">
        <v>0</v>
      </c>
      <c r="AV53" s="36">
        <f t="shared" si="19"/>
        <v>0.05257</v>
      </c>
    </row>
    <row r="54" spans="1:48" ht="12.75">
      <c r="A54" s="5" t="s">
        <v>36</v>
      </c>
      <c r="B54" s="5"/>
      <c r="C54" s="5" t="s">
        <v>102</v>
      </c>
      <c r="D54" s="5" t="s">
        <v>174</v>
      </c>
      <c r="E54" s="5" t="s">
        <v>210</v>
      </c>
      <c r="F54" s="18">
        <v>6</v>
      </c>
      <c r="G54" s="101">
        <v>658</v>
      </c>
      <c r="H54" s="18">
        <f t="shared" si="0"/>
        <v>1639.0922600619201</v>
      </c>
      <c r="I54" s="18">
        <f t="shared" si="1"/>
        <v>2308.90773993808</v>
      </c>
      <c r="J54" s="18">
        <f t="shared" si="2"/>
        <v>3948</v>
      </c>
      <c r="K54" s="18">
        <v>0.2459</v>
      </c>
      <c r="L54" s="18">
        <f t="shared" si="3"/>
        <v>1.4754</v>
      </c>
      <c r="M54" s="32" t="s">
        <v>229</v>
      </c>
      <c r="P54" s="36">
        <f t="shared" si="4"/>
        <v>0</v>
      </c>
      <c r="R54" s="36">
        <f t="shared" si="5"/>
        <v>1639.0922600619201</v>
      </c>
      <c r="S54" s="36">
        <f t="shared" si="6"/>
        <v>2308.90773993808</v>
      </c>
      <c r="T54" s="36">
        <f t="shared" si="7"/>
        <v>0</v>
      </c>
      <c r="U54" s="36">
        <f t="shared" si="8"/>
        <v>0</v>
      </c>
      <c r="V54" s="36">
        <f t="shared" si="9"/>
        <v>0</v>
      </c>
      <c r="W54" s="36">
        <f t="shared" si="10"/>
        <v>0</v>
      </c>
      <c r="X54" s="36">
        <f t="shared" si="11"/>
        <v>0</v>
      </c>
      <c r="Y54" s="27"/>
      <c r="Z54" s="18">
        <f t="shared" si="12"/>
        <v>0</v>
      </c>
      <c r="AA54" s="18">
        <f t="shared" si="13"/>
        <v>0</v>
      </c>
      <c r="AB54" s="18">
        <f t="shared" si="14"/>
        <v>3948</v>
      </c>
      <c r="AD54" s="36">
        <v>21</v>
      </c>
      <c r="AE54" s="36">
        <f>G54*0.415170278637771</f>
        <v>273.18204334365333</v>
      </c>
      <c r="AF54" s="36">
        <f>G54*(1-0.415170278637771)</f>
        <v>384.81795665634667</v>
      </c>
      <c r="AG54" s="32" t="s">
        <v>7</v>
      </c>
      <c r="AM54" s="36">
        <f t="shared" si="15"/>
        <v>1639.0922600619201</v>
      </c>
      <c r="AN54" s="36">
        <f t="shared" si="16"/>
        <v>2308.90773993808</v>
      </c>
      <c r="AO54" s="37" t="s">
        <v>253</v>
      </c>
      <c r="AP54" s="37" t="s">
        <v>261</v>
      </c>
      <c r="AQ54" s="27" t="s">
        <v>262</v>
      </c>
      <c r="AS54" s="36">
        <f t="shared" si="17"/>
        <v>3948</v>
      </c>
      <c r="AT54" s="36">
        <f t="shared" si="18"/>
        <v>658</v>
      </c>
      <c r="AU54" s="36">
        <v>0</v>
      </c>
      <c r="AV54" s="36">
        <f t="shared" si="19"/>
        <v>1.4754</v>
      </c>
    </row>
    <row r="55" spans="1:48" ht="12.75">
      <c r="A55" s="7" t="s">
        <v>37</v>
      </c>
      <c r="B55" s="7"/>
      <c r="C55" s="7" t="s">
        <v>103</v>
      </c>
      <c r="D55" s="7" t="s">
        <v>176</v>
      </c>
      <c r="E55" s="7" t="s">
        <v>210</v>
      </c>
      <c r="F55" s="19">
        <v>4</v>
      </c>
      <c r="G55" s="102">
        <v>731</v>
      </c>
      <c r="H55" s="19">
        <f t="shared" si="0"/>
        <v>2924</v>
      </c>
      <c r="I55" s="19">
        <f t="shared" si="1"/>
        <v>0</v>
      </c>
      <c r="J55" s="19">
        <f t="shared" si="2"/>
        <v>2924</v>
      </c>
      <c r="K55" s="19">
        <v>0.00126</v>
      </c>
      <c r="L55" s="19">
        <f t="shared" si="3"/>
        <v>0.00504</v>
      </c>
      <c r="M55" s="33" t="s">
        <v>231</v>
      </c>
      <c r="P55" s="36">
        <f t="shared" si="4"/>
        <v>0</v>
      </c>
      <c r="R55" s="36">
        <f t="shared" si="5"/>
        <v>2924</v>
      </c>
      <c r="S55" s="36">
        <f t="shared" si="6"/>
        <v>0</v>
      </c>
      <c r="T55" s="36">
        <f t="shared" si="7"/>
        <v>0</v>
      </c>
      <c r="U55" s="36">
        <f t="shared" si="8"/>
        <v>0</v>
      </c>
      <c r="V55" s="36">
        <f t="shared" si="9"/>
        <v>0</v>
      </c>
      <c r="W55" s="36">
        <f t="shared" si="10"/>
        <v>0</v>
      </c>
      <c r="X55" s="36">
        <f t="shared" si="11"/>
        <v>0</v>
      </c>
      <c r="Y55" s="27"/>
      <c r="Z55" s="19">
        <f t="shared" si="12"/>
        <v>0</v>
      </c>
      <c r="AA55" s="19">
        <f t="shared" si="13"/>
        <v>0</v>
      </c>
      <c r="AB55" s="19">
        <f t="shared" si="14"/>
        <v>2924</v>
      </c>
      <c r="AD55" s="36">
        <v>21</v>
      </c>
      <c r="AE55" s="36">
        <f aca="true" t="shared" si="20" ref="AE55:AE62">G55*1</f>
        <v>731</v>
      </c>
      <c r="AF55" s="36">
        <f aca="true" t="shared" si="21" ref="AF55:AF62">G55*(1-1)</f>
        <v>0</v>
      </c>
      <c r="AG55" s="33" t="s">
        <v>7</v>
      </c>
      <c r="AM55" s="36">
        <f t="shared" si="15"/>
        <v>2924</v>
      </c>
      <c r="AN55" s="36">
        <f t="shared" si="16"/>
        <v>0</v>
      </c>
      <c r="AO55" s="37" t="s">
        <v>253</v>
      </c>
      <c r="AP55" s="37" t="s">
        <v>261</v>
      </c>
      <c r="AQ55" s="27" t="s">
        <v>262</v>
      </c>
      <c r="AS55" s="36">
        <f t="shared" si="17"/>
        <v>2924</v>
      </c>
      <c r="AT55" s="36">
        <f t="shared" si="18"/>
        <v>731</v>
      </c>
      <c r="AU55" s="36">
        <v>0</v>
      </c>
      <c r="AV55" s="36">
        <f t="shared" si="19"/>
        <v>0.00504</v>
      </c>
    </row>
    <row r="56" spans="1:48" ht="12.75">
      <c r="A56" s="7" t="s">
        <v>38</v>
      </c>
      <c r="B56" s="7"/>
      <c r="C56" s="7" t="s">
        <v>104</v>
      </c>
      <c r="D56" s="7" t="s">
        <v>177</v>
      </c>
      <c r="E56" s="7" t="s">
        <v>210</v>
      </c>
      <c r="F56" s="19">
        <v>2</v>
      </c>
      <c r="G56" s="102">
        <v>1024</v>
      </c>
      <c r="H56" s="19">
        <f t="shared" si="0"/>
        <v>2048</v>
      </c>
      <c r="I56" s="19">
        <f t="shared" si="1"/>
        <v>0</v>
      </c>
      <c r="J56" s="19">
        <f t="shared" si="2"/>
        <v>2048</v>
      </c>
      <c r="K56" s="19">
        <v>0.0051</v>
      </c>
      <c r="L56" s="19">
        <f t="shared" si="3"/>
        <v>0.0102</v>
      </c>
      <c r="M56" s="33" t="s">
        <v>229</v>
      </c>
      <c r="P56" s="36">
        <f t="shared" si="4"/>
        <v>0</v>
      </c>
      <c r="R56" s="36">
        <f t="shared" si="5"/>
        <v>2048</v>
      </c>
      <c r="S56" s="36">
        <f t="shared" si="6"/>
        <v>0</v>
      </c>
      <c r="T56" s="36">
        <f t="shared" si="7"/>
        <v>0</v>
      </c>
      <c r="U56" s="36">
        <f t="shared" si="8"/>
        <v>0</v>
      </c>
      <c r="V56" s="36">
        <f t="shared" si="9"/>
        <v>0</v>
      </c>
      <c r="W56" s="36">
        <f t="shared" si="10"/>
        <v>0</v>
      </c>
      <c r="X56" s="36">
        <f t="shared" si="11"/>
        <v>0</v>
      </c>
      <c r="Y56" s="27"/>
      <c r="Z56" s="19">
        <f t="shared" si="12"/>
        <v>0</v>
      </c>
      <c r="AA56" s="19">
        <f t="shared" si="13"/>
        <v>0</v>
      </c>
      <c r="AB56" s="19">
        <f t="shared" si="14"/>
        <v>2048</v>
      </c>
      <c r="AD56" s="36">
        <v>21</v>
      </c>
      <c r="AE56" s="36">
        <f t="shared" si="20"/>
        <v>1024</v>
      </c>
      <c r="AF56" s="36">
        <f t="shared" si="21"/>
        <v>0</v>
      </c>
      <c r="AG56" s="33" t="s">
        <v>7</v>
      </c>
      <c r="AM56" s="36">
        <f t="shared" si="15"/>
        <v>2048</v>
      </c>
      <c r="AN56" s="36">
        <f t="shared" si="16"/>
        <v>0</v>
      </c>
      <c r="AO56" s="37" t="s">
        <v>253</v>
      </c>
      <c r="AP56" s="37" t="s">
        <v>261</v>
      </c>
      <c r="AQ56" s="27" t="s">
        <v>262</v>
      </c>
      <c r="AS56" s="36">
        <f t="shared" si="17"/>
        <v>2048</v>
      </c>
      <c r="AT56" s="36">
        <f t="shared" si="18"/>
        <v>1024</v>
      </c>
      <c r="AU56" s="36">
        <v>0</v>
      </c>
      <c r="AV56" s="36">
        <f t="shared" si="19"/>
        <v>0.0102</v>
      </c>
    </row>
    <row r="57" spans="1:48" ht="12.75">
      <c r="A57" s="7" t="s">
        <v>39</v>
      </c>
      <c r="B57" s="7"/>
      <c r="C57" s="7" t="s">
        <v>105</v>
      </c>
      <c r="D57" s="7" t="s">
        <v>178</v>
      </c>
      <c r="E57" s="7" t="s">
        <v>210</v>
      </c>
      <c r="F57" s="19">
        <v>2</v>
      </c>
      <c r="G57" s="102">
        <v>731</v>
      </c>
      <c r="H57" s="19">
        <f t="shared" si="0"/>
        <v>1462</v>
      </c>
      <c r="I57" s="19">
        <f t="shared" si="1"/>
        <v>0</v>
      </c>
      <c r="J57" s="19">
        <f t="shared" si="2"/>
        <v>1462</v>
      </c>
      <c r="K57" s="19">
        <v>0</v>
      </c>
      <c r="L57" s="19">
        <f t="shared" si="3"/>
        <v>0</v>
      </c>
      <c r="M57" s="33" t="s">
        <v>229</v>
      </c>
      <c r="P57" s="36">
        <f t="shared" si="4"/>
        <v>0</v>
      </c>
      <c r="R57" s="36">
        <f t="shared" si="5"/>
        <v>1462</v>
      </c>
      <c r="S57" s="36">
        <f t="shared" si="6"/>
        <v>0</v>
      </c>
      <c r="T57" s="36">
        <f t="shared" si="7"/>
        <v>0</v>
      </c>
      <c r="U57" s="36">
        <f t="shared" si="8"/>
        <v>0</v>
      </c>
      <c r="V57" s="36">
        <f t="shared" si="9"/>
        <v>0</v>
      </c>
      <c r="W57" s="36">
        <f t="shared" si="10"/>
        <v>0</v>
      </c>
      <c r="X57" s="36">
        <f t="shared" si="11"/>
        <v>0</v>
      </c>
      <c r="Y57" s="27"/>
      <c r="Z57" s="19">
        <f t="shared" si="12"/>
        <v>0</v>
      </c>
      <c r="AA57" s="19">
        <f t="shared" si="13"/>
        <v>0</v>
      </c>
      <c r="AB57" s="19">
        <f t="shared" si="14"/>
        <v>1462</v>
      </c>
      <c r="AD57" s="36">
        <v>21</v>
      </c>
      <c r="AE57" s="36">
        <f t="shared" si="20"/>
        <v>731</v>
      </c>
      <c r="AF57" s="36">
        <f t="shared" si="21"/>
        <v>0</v>
      </c>
      <c r="AG57" s="33" t="s">
        <v>7</v>
      </c>
      <c r="AM57" s="36">
        <f t="shared" si="15"/>
        <v>1462</v>
      </c>
      <c r="AN57" s="36">
        <f t="shared" si="16"/>
        <v>0</v>
      </c>
      <c r="AO57" s="37" t="s">
        <v>253</v>
      </c>
      <c r="AP57" s="37" t="s">
        <v>261</v>
      </c>
      <c r="AQ57" s="27" t="s">
        <v>262</v>
      </c>
      <c r="AS57" s="36">
        <f t="shared" si="17"/>
        <v>1462</v>
      </c>
      <c r="AT57" s="36">
        <f t="shared" si="18"/>
        <v>731</v>
      </c>
      <c r="AU57" s="36">
        <v>0</v>
      </c>
      <c r="AV57" s="36">
        <f t="shared" si="19"/>
        <v>0</v>
      </c>
    </row>
    <row r="58" spans="1:48" ht="12.75">
      <c r="A58" s="7" t="s">
        <v>40</v>
      </c>
      <c r="B58" s="7"/>
      <c r="C58" s="7" t="s">
        <v>106</v>
      </c>
      <c r="D58" s="7" t="s">
        <v>179</v>
      </c>
      <c r="E58" s="7" t="s">
        <v>210</v>
      </c>
      <c r="F58" s="19">
        <v>12</v>
      </c>
      <c r="G58" s="102">
        <v>102</v>
      </c>
      <c r="H58" s="19">
        <f t="shared" si="0"/>
        <v>1224</v>
      </c>
      <c r="I58" s="19">
        <f t="shared" si="1"/>
        <v>0</v>
      </c>
      <c r="J58" s="19">
        <f t="shared" si="2"/>
        <v>1224</v>
      </c>
      <c r="K58" s="19">
        <v>0.00019</v>
      </c>
      <c r="L58" s="19">
        <f t="shared" si="3"/>
        <v>0.00228</v>
      </c>
      <c r="M58" s="33" t="s">
        <v>229</v>
      </c>
      <c r="P58" s="36">
        <f t="shared" si="4"/>
        <v>0</v>
      </c>
      <c r="R58" s="36">
        <f t="shared" si="5"/>
        <v>1224</v>
      </c>
      <c r="S58" s="36">
        <f t="shared" si="6"/>
        <v>0</v>
      </c>
      <c r="T58" s="36">
        <f t="shared" si="7"/>
        <v>0</v>
      </c>
      <c r="U58" s="36">
        <f t="shared" si="8"/>
        <v>0</v>
      </c>
      <c r="V58" s="36">
        <f t="shared" si="9"/>
        <v>0</v>
      </c>
      <c r="W58" s="36">
        <f t="shared" si="10"/>
        <v>0</v>
      </c>
      <c r="X58" s="36">
        <f t="shared" si="11"/>
        <v>0</v>
      </c>
      <c r="Y58" s="27"/>
      <c r="Z58" s="19">
        <f t="shared" si="12"/>
        <v>0</v>
      </c>
      <c r="AA58" s="19">
        <f t="shared" si="13"/>
        <v>0</v>
      </c>
      <c r="AB58" s="19">
        <f t="shared" si="14"/>
        <v>1224</v>
      </c>
      <c r="AD58" s="36">
        <v>21</v>
      </c>
      <c r="AE58" s="36">
        <f t="shared" si="20"/>
        <v>102</v>
      </c>
      <c r="AF58" s="36">
        <f t="shared" si="21"/>
        <v>0</v>
      </c>
      <c r="AG58" s="33" t="s">
        <v>7</v>
      </c>
      <c r="AM58" s="36">
        <f t="shared" si="15"/>
        <v>1224</v>
      </c>
      <c r="AN58" s="36">
        <f t="shared" si="16"/>
        <v>0</v>
      </c>
      <c r="AO58" s="37" t="s">
        <v>253</v>
      </c>
      <c r="AP58" s="37" t="s">
        <v>261</v>
      </c>
      <c r="AQ58" s="27" t="s">
        <v>262</v>
      </c>
      <c r="AS58" s="36">
        <f t="shared" si="17"/>
        <v>1224</v>
      </c>
      <c r="AT58" s="36">
        <f t="shared" si="18"/>
        <v>102</v>
      </c>
      <c r="AU58" s="36">
        <v>0</v>
      </c>
      <c r="AV58" s="36">
        <f t="shared" si="19"/>
        <v>0.00228</v>
      </c>
    </row>
    <row r="59" spans="1:48" ht="12.75">
      <c r="A59" s="7" t="s">
        <v>41</v>
      </c>
      <c r="B59" s="7"/>
      <c r="C59" s="7" t="s">
        <v>107</v>
      </c>
      <c r="D59" s="7" t="s">
        <v>180</v>
      </c>
      <c r="E59" s="7" t="s">
        <v>210</v>
      </c>
      <c r="F59" s="19">
        <v>2</v>
      </c>
      <c r="G59" s="102">
        <v>585</v>
      </c>
      <c r="H59" s="19">
        <f t="shared" si="0"/>
        <v>1170</v>
      </c>
      <c r="I59" s="19">
        <f t="shared" si="1"/>
        <v>0</v>
      </c>
      <c r="J59" s="19">
        <f t="shared" si="2"/>
        <v>1170</v>
      </c>
      <c r="K59" s="19">
        <v>0</v>
      </c>
      <c r="L59" s="19">
        <f t="shared" si="3"/>
        <v>0</v>
      </c>
      <c r="M59" s="33" t="s">
        <v>229</v>
      </c>
      <c r="P59" s="36">
        <f t="shared" si="4"/>
        <v>0</v>
      </c>
      <c r="R59" s="36">
        <f t="shared" si="5"/>
        <v>1170</v>
      </c>
      <c r="S59" s="36">
        <f t="shared" si="6"/>
        <v>0</v>
      </c>
      <c r="T59" s="36">
        <f t="shared" si="7"/>
        <v>0</v>
      </c>
      <c r="U59" s="36">
        <f t="shared" si="8"/>
        <v>0</v>
      </c>
      <c r="V59" s="36">
        <f t="shared" si="9"/>
        <v>0</v>
      </c>
      <c r="W59" s="36">
        <f t="shared" si="10"/>
        <v>0</v>
      </c>
      <c r="X59" s="36">
        <f t="shared" si="11"/>
        <v>0</v>
      </c>
      <c r="Y59" s="27"/>
      <c r="Z59" s="19">
        <f t="shared" si="12"/>
        <v>0</v>
      </c>
      <c r="AA59" s="19">
        <f t="shared" si="13"/>
        <v>0</v>
      </c>
      <c r="AB59" s="19">
        <f t="shared" si="14"/>
        <v>1170</v>
      </c>
      <c r="AD59" s="36">
        <v>21</v>
      </c>
      <c r="AE59" s="36">
        <f t="shared" si="20"/>
        <v>585</v>
      </c>
      <c r="AF59" s="36">
        <f t="shared" si="21"/>
        <v>0</v>
      </c>
      <c r="AG59" s="33" t="s">
        <v>7</v>
      </c>
      <c r="AM59" s="36">
        <f t="shared" si="15"/>
        <v>1170</v>
      </c>
      <c r="AN59" s="36">
        <f t="shared" si="16"/>
        <v>0</v>
      </c>
      <c r="AO59" s="37" t="s">
        <v>253</v>
      </c>
      <c r="AP59" s="37" t="s">
        <v>261</v>
      </c>
      <c r="AQ59" s="27" t="s">
        <v>262</v>
      </c>
      <c r="AS59" s="36">
        <f t="shared" si="17"/>
        <v>1170</v>
      </c>
      <c r="AT59" s="36">
        <f t="shared" si="18"/>
        <v>585</v>
      </c>
      <c r="AU59" s="36">
        <v>0</v>
      </c>
      <c r="AV59" s="36">
        <f t="shared" si="19"/>
        <v>0</v>
      </c>
    </row>
    <row r="60" spans="1:48" ht="12.75">
      <c r="A60" s="7" t="s">
        <v>42</v>
      </c>
      <c r="B60" s="7"/>
      <c r="C60" s="7" t="s">
        <v>108</v>
      </c>
      <c r="D60" s="7" t="s">
        <v>181</v>
      </c>
      <c r="E60" s="7" t="s">
        <v>210</v>
      </c>
      <c r="F60" s="19">
        <v>1</v>
      </c>
      <c r="G60" s="102">
        <v>1316</v>
      </c>
      <c r="H60" s="19">
        <f t="shared" si="0"/>
        <v>1316</v>
      </c>
      <c r="I60" s="19">
        <f t="shared" si="1"/>
        <v>0</v>
      </c>
      <c r="J60" s="19">
        <f t="shared" si="2"/>
        <v>1316</v>
      </c>
      <c r="K60" s="19">
        <v>0.007</v>
      </c>
      <c r="L60" s="19">
        <f t="shared" si="3"/>
        <v>0.007</v>
      </c>
      <c r="M60" s="33" t="s">
        <v>229</v>
      </c>
      <c r="P60" s="36">
        <f t="shared" si="4"/>
        <v>0</v>
      </c>
      <c r="R60" s="36">
        <f t="shared" si="5"/>
        <v>1316</v>
      </c>
      <c r="S60" s="36">
        <f t="shared" si="6"/>
        <v>0</v>
      </c>
      <c r="T60" s="36">
        <f t="shared" si="7"/>
        <v>0</v>
      </c>
      <c r="U60" s="36">
        <f t="shared" si="8"/>
        <v>0</v>
      </c>
      <c r="V60" s="36">
        <f t="shared" si="9"/>
        <v>0</v>
      </c>
      <c r="W60" s="36">
        <f t="shared" si="10"/>
        <v>0</v>
      </c>
      <c r="X60" s="36">
        <f t="shared" si="11"/>
        <v>0</v>
      </c>
      <c r="Y60" s="27"/>
      <c r="Z60" s="19">
        <f t="shared" si="12"/>
        <v>0</v>
      </c>
      <c r="AA60" s="19">
        <f t="shared" si="13"/>
        <v>0</v>
      </c>
      <c r="AB60" s="19">
        <f t="shared" si="14"/>
        <v>1316</v>
      </c>
      <c r="AD60" s="36">
        <v>21</v>
      </c>
      <c r="AE60" s="36">
        <f t="shared" si="20"/>
        <v>1316</v>
      </c>
      <c r="AF60" s="36">
        <f t="shared" si="21"/>
        <v>0</v>
      </c>
      <c r="AG60" s="33" t="s">
        <v>7</v>
      </c>
      <c r="AM60" s="36">
        <f t="shared" si="15"/>
        <v>1316</v>
      </c>
      <c r="AN60" s="36">
        <f t="shared" si="16"/>
        <v>0</v>
      </c>
      <c r="AO60" s="37" t="s">
        <v>253</v>
      </c>
      <c r="AP60" s="37" t="s">
        <v>261</v>
      </c>
      <c r="AQ60" s="27" t="s">
        <v>262</v>
      </c>
      <c r="AS60" s="36">
        <f t="shared" si="17"/>
        <v>1316</v>
      </c>
      <c r="AT60" s="36">
        <f t="shared" si="18"/>
        <v>1316</v>
      </c>
      <c r="AU60" s="36">
        <v>0</v>
      </c>
      <c r="AV60" s="36">
        <f t="shared" si="19"/>
        <v>0.007</v>
      </c>
    </row>
    <row r="61" spans="1:48" ht="12.75">
      <c r="A61" s="7" t="s">
        <v>43</v>
      </c>
      <c r="B61" s="7"/>
      <c r="C61" s="7" t="s">
        <v>109</v>
      </c>
      <c r="D61" s="7" t="s">
        <v>182</v>
      </c>
      <c r="E61" s="7" t="s">
        <v>210</v>
      </c>
      <c r="F61" s="19">
        <v>1</v>
      </c>
      <c r="G61" s="102">
        <v>878</v>
      </c>
      <c r="H61" s="19">
        <f t="shared" si="0"/>
        <v>878</v>
      </c>
      <c r="I61" s="19">
        <f t="shared" si="1"/>
        <v>0</v>
      </c>
      <c r="J61" s="19">
        <f t="shared" si="2"/>
        <v>878</v>
      </c>
      <c r="K61" s="19">
        <v>0.0051</v>
      </c>
      <c r="L61" s="19">
        <f t="shared" si="3"/>
        <v>0.0051</v>
      </c>
      <c r="M61" s="33" t="s">
        <v>229</v>
      </c>
      <c r="P61" s="36">
        <f t="shared" si="4"/>
        <v>0</v>
      </c>
      <c r="R61" s="36">
        <f t="shared" si="5"/>
        <v>878</v>
      </c>
      <c r="S61" s="36">
        <f t="shared" si="6"/>
        <v>0</v>
      </c>
      <c r="T61" s="36">
        <f t="shared" si="7"/>
        <v>0</v>
      </c>
      <c r="U61" s="36">
        <f t="shared" si="8"/>
        <v>0</v>
      </c>
      <c r="V61" s="36">
        <f t="shared" si="9"/>
        <v>0</v>
      </c>
      <c r="W61" s="36">
        <f t="shared" si="10"/>
        <v>0</v>
      </c>
      <c r="X61" s="36">
        <f t="shared" si="11"/>
        <v>0</v>
      </c>
      <c r="Y61" s="27"/>
      <c r="Z61" s="19">
        <f t="shared" si="12"/>
        <v>0</v>
      </c>
      <c r="AA61" s="19">
        <f t="shared" si="13"/>
        <v>0</v>
      </c>
      <c r="AB61" s="19">
        <f t="shared" si="14"/>
        <v>878</v>
      </c>
      <c r="AD61" s="36">
        <v>21</v>
      </c>
      <c r="AE61" s="36">
        <f t="shared" si="20"/>
        <v>878</v>
      </c>
      <c r="AF61" s="36">
        <f t="shared" si="21"/>
        <v>0</v>
      </c>
      <c r="AG61" s="33" t="s">
        <v>7</v>
      </c>
      <c r="AM61" s="36">
        <f t="shared" si="15"/>
        <v>878</v>
      </c>
      <c r="AN61" s="36">
        <f t="shared" si="16"/>
        <v>0</v>
      </c>
      <c r="AO61" s="37" t="s">
        <v>253</v>
      </c>
      <c r="AP61" s="37" t="s">
        <v>261</v>
      </c>
      <c r="AQ61" s="27" t="s">
        <v>262</v>
      </c>
      <c r="AS61" s="36">
        <f t="shared" si="17"/>
        <v>878</v>
      </c>
      <c r="AT61" s="36">
        <f t="shared" si="18"/>
        <v>877.9999999999999</v>
      </c>
      <c r="AU61" s="36">
        <v>0</v>
      </c>
      <c r="AV61" s="36">
        <f t="shared" si="19"/>
        <v>0.0051</v>
      </c>
    </row>
    <row r="62" spans="1:48" ht="12.75">
      <c r="A62" s="7" t="s">
        <v>44</v>
      </c>
      <c r="B62" s="7"/>
      <c r="C62" s="7" t="s">
        <v>110</v>
      </c>
      <c r="D62" s="7" t="s">
        <v>183</v>
      </c>
      <c r="E62" s="7" t="s">
        <v>210</v>
      </c>
      <c r="F62" s="19">
        <v>2</v>
      </c>
      <c r="G62" s="102">
        <v>1316</v>
      </c>
      <c r="H62" s="19">
        <f t="shared" si="0"/>
        <v>2632</v>
      </c>
      <c r="I62" s="19">
        <f t="shared" si="1"/>
        <v>0</v>
      </c>
      <c r="J62" s="19">
        <f t="shared" si="2"/>
        <v>2632</v>
      </c>
      <c r="K62" s="19">
        <v>0.0051</v>
      </c>
      <c r="L62" s="19">
        <f t="shared" si="3"/>
        <v>0.0102</v>
      </c>
      <c r="M62" s="33" t="s">
        <v>229</v>
      </c>
      <c r="P62" s="36">
        <f t="shared" si="4"/>
        <v>0</v>
      </c>
      <c r="R62" s="36">
        <f t="shared" si="5"/>
        <v>2632</v>
      </c>
      <c r="S62" s="36">
        <f t="shared" si="6"/>
        <v>0</v>
      </c>
      <c r="T62" s="36">
        <f t="shared" si="7"/>
        <v>0</v>
      </c>
      <c r="U62" s="36">
        <f t="shared" si="8"/>
        <v>0</v>
      </c>
      <c r="V62" s="36">
        <f t="shared" si="9"/>
        <v>0</v>
      </c>
      <c r="W62" s="36">
        <f t="shared" si="10"/>
        <v>0</v>
      </c>
      <c r="X62" s="36">
        <f t="shared" si="11"/>
        <v>0</v>
      </c>
      <c r="Y62" s="27"/>
      <c r="Z62" s="19">
        <f t="shared" si="12"/>
        <v>0</v>
      </c>
      <c r="AA62" s="19">
        <f t="shared" si="13"/>
        <v>0</v>
      </c>
      <c r="AB62" s="19">
        <f t="shared" si="14"/>
        <v>2632</v>
      </c>
      <c r="AD62" s="36">
        <v>21</v>
      </c>
      <c r="AE62" s="36">
        <f t="shared" si="20"/>
        <v>1316</v>
      </c>
      <c r="AF62" s="36">
        <f t="shared" si="21"/>
        <v>0</v>
      </c>
      <c r="AG62" s="33" t="s">
        <v>7</v>
      </c>
      <c r="AM62" s="36">
        <f t="shared" si="15"/>
        <v>2632</v>
      </c>
      <c r="AN62" s="36">
        <f t="shared" si="16"/>
        <v>0</v>
      </c>
      <c r="AO62" s="37" t="s">
        <v>253</v>
      </c>
      <c r="AP62" s="37" t="s">
        <v>261</v>
      </c>
      <c r="AQ62" s="27" t="s">
        <v>262</v>
      </c>
      <c r="AS62" s="36">
        <f t="shared" si="17"/>
        <v>2632</v>
      </c>
      <c r="AT62" s="36">
        <f t="shared" si="18"/>
        <v>1316</v>
      </c>
      <c r="AU62" s="36">
        <v>0</v>
      </c>
      <c r="AV62" s="36">
        <f t="shared" si="19"/>
        <v>0.0102</v>
      </c>
    </row>
    <row r="63" spans="1:48" ht="12.75">
      <c r="A63" s="5" t="s">
        <v>45</v>
      </c>
      <c r="B63" s="5"/>
      <c r="C63" s="5" t="s">
        <v>101</v>
      </c>
      <c r="D63" s="5" t="s">
        <v>175</v>
      </c>
      <c r="E63" s="5" t="s">
        <v>206</v>
      </c>
      <c r="F63" s="18">
        <v>20</v>
      </c>
      <c r="G63" s="101">
        <v>147</v>
      </c>
      <c r="H63" s="18">
        <f t="shared" si="0"/>
        <v>1896.2343750000011</v>
      </c>
      <c r="I63" s="18">
        <f t="shared" si="1"/>
        <v>1043.7656249999989</v>
      </c>
      <c r="J63" s="18">
        <f t="shared" si="2"/>
        <v>2940</v>
      </c>
      <c r="K63" s="18">
        <v>0.00035</v>
      </c>
      <c r="L63" s="18">
        <f t="shared" si="3"/>
        <v>0.007</v>
      </c>
      <c r="M63" s="32" t="s">
        <v>229</v>
      </c>
      <c r="P63" s="36">
        <f t="shared" si="4"/>
        <v>0</v>
      </c>
      <c r="R63" s="36">
        <f t="shared" si="5"/>
        <v>1896.2343750000011</v>
      </c>
      <c r="S63" s="36">
        <f t="shared" si="6"/>
        <v>1043.7656249999989</v>
      </c>
      <c r="T63" s="36">
        <f t="shared" si="7"/>
        <v>0</v>
      </c>
      <c r="U63" s="36">
        <f t="shared" si="8"/>
        <v>0</v>
      </c>
      <c r="V63" s="36">
        <f t="shared" si="9"/>
        <v>0</v>
      </c>
      <c r="W63" s="36">
        <f t="shared" si="10"/>
        <v>0</v>
      </c>
      <c r="X63" s="36">
        <f t="shared" si="11"/>
        <v>0</v>
      </c>
      <c r="Y63" s="27"/>
      <c r="Z63" s="18">
        <f t="shared" si="12"/>
        <v>0</v>
      </c>
      <c r="AA63" s="18">
        <f t="shared" si="13"/>
        <v>0</v>
      </c>
      <c r="AB63" s="18">
        <f t="shared" si="14"/>
        <v>2940</v>
      </c>
      <c r="AD63" s="36">
        <v>21</v>
      </c>
      <c r="AE63" s="36">
        <f>G63*0.644977678571429</f>
        <v>94.81171875000005</v>
      </c>
      <c r="AF63" s="36">
        <f>G63*(1-0.644977678571429)</f>
        <v>52.188281249999946</v>
      </c>
      <c r="AG63" s="32" t="s">
        <v>7</v>
      </c>
      <c r="AM63" s="36">
        <f t="shared" si="15"/>
        <v>1896.2343750000011</v>
      </c>
      <c r="AN63" s="36">
        <f t="shared" si="16"/>
        <v>1043.7656249999989</v>
      </c>
      <c r="AO63" s="37" t="s">
        <v>253</v>
      </c>
      <c r="AP63" s="37" t="s">
        <v>261</v>
      </c>
      <c r="AQ63" s="27" t="s">
        <v>262</v>
      </c>
      <c r="AS63" s="36">
        <f t="shared" si="17"/>
        <v>2940</v>
      </c>
      <c r="AT63" s="36">
        <f t="shared" si="18"/>
        <v>147</v>
      </c>
      <c r="AU63" s="36">
        <v>0</v>
      </c>
      <c r="AV63" s="36">
        <f t="shared" si="19"/>
        <v>0.007</v>
      </c>
    </row>
    <row r="64" spans="1:37" ht="12.75">
      <c r="A64" s="6"/>
      <c r="B64" s="14"/>
      <c r="C64" s="14" t="s">
        <v>111</v>
      </c>
      <c r="D64" s="14" t="s">
        <v>184</v>
      </c>
      <c r="E64" s="6" t="s">
        <v>6</v>
      </c>
      <c r="F64" s="6" t="s">
        <v>6</v>
      </c>
      <c r="G64" s="6"/>
      <c r="H64" s="39">
        <f>SUM(H65:H65)</f>
        <v>0</v>
      </c>
      <c r="I64" s="39">
        <f>SUM(I65:I65)</f>
        <v>390</v>
      </c>
      <c r="J64" s="39">
        <f>H64+I64</f>
        <v>390</v>
      </c>
      <c r="K64" s="27"/>
      <c r="L64" s="39">
        <f>SUM(L65:L65)</f>
        <v>0</v>
      </c>
      <c r="M64" s="27"/>
      <c r="Y64" s="27"/>
      <c r="AI64" s="39">
        <f>SUM(Z65:Z65)</f>
        <v>0</v>
      </c>
      <c r="AJ64" s="39">
        <f>SUM(AA65:AA65)</f>
        <v>0</v>
      </c>
      <c r="AK64" s="39">
        <f>SUM(AB65:AB65)</f>
        <v>390</v>
      </c>
    </row>
    <row r="65" spans="1:48" ht="12.75">
      <c r="A65" s="5" t="s">
        <v>46</v>
      </c>
      <c r="B65" s="5"/>
      <c r="C65" s="5" t="s">
        <v>112</v>
      </c>
      <c r="D65" s="5" t="s">
        <v>185</v>
      </c>
      <c r="E65" s="5" t="s">
        <v>206</v>
      </c>
      <c r="F65" s="18">
        <v>10</v>
      </c>
      <c r="G65" s="101">
        <v>39</v>
      </c>
      <c r="H65" s="18">
        <f>F65*AE65</f>
        <v>0</v>
      </c>
      <c r="I65" s="18">
        <f>J65-H65</f>
        <v>390</v>
      </c>
      <c r="J65" s="18">
        <f>F65*G65</f>
        <v>390</v>
      </c>
      <c r="K65" s="18">
        <v>0</v>
      </c>
      <c r="L65" s="18">
        <f>F65*K65</f>
        <v>0</v>
      </c>
      <c r="M65" s="32" t="s">
        <v>229</v>
      </c>
      <c r="P65" s="36">
        <f>IF(AG65="5",J65,0)</f>
        <v>0</v>
      </c>
      <c r="R65" s="36">
        <f>IF(AG65="1",H65,0)</f>
        <v>0</v>
      </c>
      <c r="S65" s="36">
        <f>IF(AG65="1",I65,0)</f>
        <v>390</v>
      </c>
      <c r="T65" s="36">
        <f>IF(AG65="7",H65,0)</f>
        <v>0</v>
      </c>
      <c r="U65" s="36">
        <f>IF(AG65="7",I65,0)</f>
        <v>0</v>
      </c>
      <c r="V65" s="36">
        <f>IF(AG65="2",H65,0)</f>
        <v>0</v>
      </c>
      <c r="W65" s="36">
        <f>IF(AG65="2",I65,0)</f>
        <v>0</v>
      </c>
      <c r="X65" s="36">
        <f>IF(AG65="0",J65,0)</f>
        <v>0</v>
      </c>
      <c r="Y65" s="27"/>
      <c r="Z65" s="18">
        <f>IF(AD65=0,J65,0)</f>
        <v>0</v>
      </c>
      <c r="AA65" s="18">
        <f>IF(AD65=15,J65,0)</f>
        <v>0</v>
      </c>
      <c r="AB65" s="18">
        <f>IF(AD65=21,J65,0)</f>
        <v>390</v>
      </c>
      <c r="AD65" s="36">
        <v>21</v>
      </c>
      <c r="AE65" s="36">
        <f>G65*0</f>
        <v>0</v>
      </c>
      <c r="AF65" s="36">
        <f>G65*(1-0)</f>
        <v>39</v>
      </c>
      <c r="AG65" s="32" t="s">
        <v>7</v>
      </c>
      <c r="AM65" s="36">
        <f>F65*AE65</f>
        <v>0</v>
      </c>
      <c r="AN65" s="36">
        <f>F65*AF65</f>
        <v>390</v>
      </c>
      <c r="AO65" s="37" t="s">
        <v>254</v>
      </c>
      <c r="AP65" s="37" t="s">
        <v>261</v>
      </c>
      <c r="AQ65" s="27" t="s">
        <v>262</v>
      </c>
      <c r="AS65" s="36">
        <f>AM65+AN65</f>
        <v>390</v>
      </c>
      <c r="AT65" s="36">
        <f>G65/(100-AU65)*100</f>
        <v>39</v>
      </c>
      <c r="AU65" s="36">
        <v>0</v>
      </c>
      <c r="AV65" s="36">
        <f>L65</f>
        <v>0</v>
      </c>
    </row>
    <row r="66" spans="1:37" ht="12.75">
      <c r="A66" s="6"/>
      <c r="B66" s="14"/>
      <c r="C66" s="14" t="s">
        <v>113</v>
      </c>
      <c r="D66" s="14" t="s">
        <v>186</v>
      </c>
      <c r="E66" s="6" t="s">
        <v>6</v>
      </c>
      <c r="F66" s="6" t="s">
        <v>6</v>
      </c>
      <c r="G66" s="6"/>
      <c r="H66" s="39">
        <f>SUM(H67:H74)</f>
        <v>0</v>
      </c>
      <c r="I66" s="39">
        <f>SUM(I67:I74)</f>
        <v>3109.43</v>
      </c>
      <c r="J66" s="39">
        <f>H66+I66</f>
        <v>3109.43</v>
      </c>
      <c r="K66" s="27"/>
      <c r="L66" s="39">
        <f>SUM(L67:L74)</f>
        <v>0</v>
      </c>
      <c r="M66" s="27"/>
      <c r="Y66" s="27"/>
      <c r="AI66" s="39">
        <f>SUM(Z67:Z74)</f>
        <v>0</v>
      </c>
      <c r="AJ66" s="39">
        <f>SUM(AA67:AA74)</f>
        <v>0</v>
      </c>
      <c r="AK66" s="39">
        <f>SUM(AB67:AB74)</f>
        <v>3109.43</v>
      </c>
    </row>
    <row r="67" spans="1:48" ht="12.75">
      <c r="A67" s="5" t="s">
        <v>47</v>
      </c>
      <c r="B67" s="5"/>
      <c r="C67" s="5" t="s">
        <v>114</v>
      </c>
      <c r="D67" s="5" t="s">
        <v>187</v>
      </c>
      <c r="E67" s="5" t="s">
        <v>211</v>
      </c>
      <c r="F67" s="18">
        <v>0.5</v>
      </c>
      <c r="G67" s="101">
        <v>152</v>
      </c>
      <c r="H67" s="18">
        <f aca="true" t="shared" si="22" ref="H67:H74">F67*AE67</f>
        <v>0</v>
      </c>
      <c r="I67" s="18">
        <f aca="true" t="shared" si="23" ref="I67:I74">J67-H67</f>
        <v>76</v>
      </c>
      <c r="J67" s="18">
        <f aca="true" t="shared" si="24" ref="J67:J74">F67*G67</f>
        <v>76</v>
      </c>
      <c r="K67" s="18">
        <v>0</v>
      </c>
      <c r="L67" s="18">
        <f aca="true" t="shared" si="25" ref="L67:L74">F67*K67</f>
        <v>0</v>
      </c>
      <c r="M67" s="32" t="s">
        <v>229</v>
      </c>
      <c r="P67" s="36">
        <f aca="true" t="shared" si="26" ref="P67:P74">IF(AG67="5",J67,0)</f>
        <v>76</v>
      </c>
      <c r="R67" s="36">
        <f aca="true" t="shared" si="27" ref="R67:R74">IF(AG67="1",H67,0)</f>
        <v>0</v>
      </c>
      <c r="S67" s="36">
        <f aca="true" t="shared" si="28" ref="S67:S74">IF(AG67="1",I67,0)</f>
        <v>0</v>
      </c>
      <c r="T67" s="36">
        <f aca="true" t="shared" si="29" ref="T67:T74">IF(AG67="7",H67,0)</f>
        <v>0</v>
      </c>
      <c r="U67" s="36">
        <f aca="true" t="shared" si="30" ref="U67:U74">IF(AG67="7",I67,0)</f>
        <v>0</v>
      </c>
      <c r="V67" s="36">
        <f aca="true" t="shared" si="31" ref="V67:V74">IF(AG67="2",H67,0)</f>
        <v>0</v>
      </c>
      <c r="W67" s="36">
        <f aca="true" t="shared" si="32" ref="W67:W74">IF(AG67="2",I67,0)</f>
        <v>0</v>
      </c>
      <c r="X67" s="36">
        <f aca="true" t="shared" si="33" ref="X67:X74">IF(AG67="0",J67,0)</f>
        <v>0</v>
      </c>
      <c r="Y67" s="27"/>
      <c r="Z67" s="18">
        <f aca="true" t="shared" si="34" ref="Z67:Z74">IF(AD67=0,J67,0)</f>
        <v>0</v>
      </c>
      <c r="AA67" s="18">
        <f aca="true" t="shared" si="35" ref="AA67:AA74">IF(AD67=15,J67,0)</f>
        <v>0</v>
      </c>
      <c r="AB67" s="18">
        <f aca="true" t="shared" si="36" ref="AB67:AB74">IF(AD67=21,J67,0)</f>
        <v>76</v>
      </c>
      <c r="AD67" s="36">
        <v>21</v>
      </c>
      <c r="AE67" s="36">
        <f aca="true" t="shared" si="37" ref="AE67:AE74">G67*0</f>
        <v>0</v>
      </c>
      <c r="AF67" s="36">
        <f aca="true" t="shared" si="38" ref="AF67:AF74">G67*(1-0)</f>
        <v>152</v>
      </c>
      <c r="AG67" s="32" t="s">
        <v>11</v>
      </c>
      <c r="AM67" s="36">
        <f aca="true" t="shared" si="39" ref="AM67:AM74">F67*AE67</f>
        <v>0</v>
      </c>
      <c r="AN67" s="36">
        <f aca="true" t="shared" si="40" ref="AN67:AN74">F67*AF67</f>
        <v>76</v>
      </c>
      <c r="AO67" s="37" t="s">
        <v>255</v>
      </c>
      <c r="AP67" s="37" t="s">
        <v>261</v>
      </c>
      <c r="AQ67" s="27" t="s">
        <v>262</v>
      </c>
      <c r="AS67" s="36">
        <f aca="true" t="shared" si="41" ref="AS67:AS74">AM67+AN67</f>
        <v>76</v>
      </c>
      <c r="AT67" s="36">
        <f aca="true" t="shared" si="42" ref="AT67:AT74">G67/(100-AU67)*100</f>
        <v>152</v>
      </c>
      <c r="AU67" s="36">
        <v>0</v>
      </c>
      <c r="AV67" s="36">
        <f aca="true" t="shared" si="43" ref="AV67:AV74">L67</f>
        <v>0</v>
      </c>
    </row>
    <row r="68" spans="1:48" ht="12.75">
      <c r="A68" s="5" t="s">
        <v>48</v>
      </c>
      <c r="B68" s="5"/>
      <c r="C68" s="5" t="s">
        <v>115</v>
      </c>
      <c r="D68" s="5" t="s">
        <v>188</v>
      </c>
      <c r="E68" s="5" t="s">
        <v>211</v>
      </c>
      <c r="F68" s="18">
        <v>2</v>
      </c>
      <c r="G68" s="101">
        <v>152</v>
      </c>
      <c r="H68" s="18">
        <f t="shared" si="22"/>
        <v>0</v>
      </c>
      <c r="I68" s="18">
        <f t="shared" si="23"/>
        <v>304</v>
      </c>
      <c r="J68" s="18">
        <f t="shared" si="24"/>
        <v>304</v>
      </c>
      <c r="K68" s="18">
        <v>0</v>
      </c>
      <c r="L68" s="18">
        <f t="shared" si="25"/>
        <v>0</v>
      </c>
      <c r="M68" s="32" t="s">
        <v>229</v>
      </c>
      <c r="P68" s="36">
        <f t="shared" si="26"/>
        <v>304</v>
      </c>
      <c r="R68" s="36">
        <f t="shared" si="27"/>
        <v>0</v>
      </c>
      <c r="S68" s="36">
        <f t="shared" si="28"/>
        <v>0</v>
      </c>
      <c r="T68" s="36">
        <f t="shared" si="29"/>
        <v>0</v>
      </c>
      <c r="U68" s="36">
        <f t="shared" si="30"/>
        <v>0</v>
      </c>
      <c r="V68" s="36">
        <f t="shared" si="31"/>
        <v>0</v>
      </c>
      <c r="W68" s="36">
        <f t="shared" si="32"/>
        <v>0</v>
      </c>
      <c r="X68" s="36">
        <f t="shared" si="33"/>
        <v>0</v>
      </c>
      <c r="Y68" s="27"/>
      <c r="Z68" s="18">
        <f t="shared" si="34"/>
        <v>0</v>
      </c>
      <c r="AA68" s="18">
        <f t="shared" si="35"/>
        <v>0</v>
      </c>
      <c r="AB68" s="18">
        <f t="shared" si="36"/>
        <v>304</v>
      </c>
      <c r="AD68" s="36">
        <v>21</v>
      </c>
      <c r="AE68" s="36">
        <f t="shared" si="37"/>
        <v>0</v>
      </c>
      <c r="AF68" s="36">
        <f t="shared" si="38"/>
        <v>152</v>
      </c>
      <c r="AG68" s="32" t="s">
        <v>11</v>
      </c>
      <c r="AM68" s="36">
        <f t="shared" si="39"/>
        <v>0</v>
      </c>
      <c r="AN68" s="36">
        <f t="shared" si="40"/>
        <v>304</v>
      </c>
      <c r="AO68" s="37" t="s">
        <v>255</v>
      </c>
      <c r="AP68" s="37" t="s">
        <v>261</v>
      </c>
      <c r="AQ68" s="27" t="s">
        <v>262</v>
      </c>
      <c r="AS68" s="36">
        <f t="shared" si="41"/>
        <v>304</v>
      </c>
      <c r="AT68" s="36">
        <f t="shared" si="42"/>
        <v>152</v>
      </c>
      <c r="AU68" s="36">
        <v>0</v>
      </c>
      <c r="AV68" s="36">
        <f t="shared" si="43"/>
        <v>0</v>
      </c>
    </row>
    <row r="69" spans="1:48" ht="12.75">
      <c r="A69" s="5" t="s">
        <v>49</v>
      </c>
      <c r="B69" s="5"/>
      <c r="C69" s="5" t="s">
        <v>116</v>
      </c>
      <c r="D69" s="5" t="s">
        <v>189</v>
      </c>
      <c r="E69" s="5" t="s">
        <v>211</v>
      </c>
      <c r="F69" s="18">
        <v>4.46</v>
      </c>
      <c r="G69" s="101">
        <v>64</v>
      </c>
      <c r="H69" s="18">
        <f t="shared" si="22"/>
        <v>0</v>
      </c>
      <c r="I69" s="18">
        <f t="shared" si="23"/>
        <v>285.44</v>
      </c>
      <c r="J69" s="18">
        <f t="shared" si="24"/>
        <v>285.44</v>
      </c>
      <c r="K69" s="18">
        <v>0</v>
      </c>
      <c r="L69" s="18">
        <f t="shared" si="25"/>
        <v>0</v>
      </c>
      <c r="M69" s="32" t="s">
        <v>229</v>
      </c>
      <c r="P69" s="36">
        <f t="shared" si="26"/>
        <v>285.44</v>
      </c>
      <c r="R69" s="36">
        <f t="shared" si="27"/>
        <v>0</v>
      </c>
      <c r="S69" s="36">
        <f t="shared" si="28"/>
        <v>0</v>
      </c>
      <c r="T69" s="36">
        <f t="shared" si="29"/>
        <v>0</v>
      </c>
      <c r="U69" s="36">
        <f t="shared" si="30"/>
        <v>0</v>
      </c>
      <c r="V69" s="36">
        <f t="shared" si="31"/>
        <v>0</v>
      </c>
      <c r="W69" s="36">
        <f t="shared" si="32"/>
        <v>0</v>
      </c>
      <c r="X69" s="36">
        <f t="shared" si="33"/>
        <v>0</v>
      </c>
      <c r="Y69" s="27"/>
      <c r="Z69" s="18">
        <f t="shared" si="34"/>
        <v>0</v>
      </c>
      <c r="AA69" s="18">
        <f t="shared" si="35"/>
        <v>0</v>
      </c>
      <c r="AB69" s="18">
        <f t="shared" si="36"/>
        <v>285.44</v>
      </c>
      <c r="AD69" s="36">
        <v>21</v>
      </c>
      <c r="AE69" s="36">
        <f t="shared" si="37"/>
        <v>0</v>
      </c>
      <c r="AF69" s="36">
        <f t="shared" si="38"/>
        <v>64</v>
      </c>
      <c r="AG69" s="32" t="s">
        <v>11</v>
      </c>
      <c r="AM69" s="36">
        <f t="shared" si="39"/>
        <v>0</v>
      </c>
      <c r="AN69" s="36">
        <f t="shared" si="40"/>
        <v>285.44</v>
      </c>
      <c r="AO69" s="37" t="s">
        <v>255</v>
      </c>
      <c r="AP69" s="37" t="s">
        <v>261</v>
      </c>
      <c r="AQ69" s="27" t="s">
        <v>262</v>
      </c>
      <c r="AS69" s="36">
        <f t="shared" si="41"/>
        <v>285.44</v>
      </c>
      <c r="AT69" s="36">
        <f t="shared" si="42"/>
        <v>64</v>
      </c>
      <c r="AU69" s="36">
        <v>0</v>
      </c>
      <c r="AV69" s="36">
        <f t="shared" si="43"/>
        <v>0</v>
      </c>
    </row>
    <row r="70" spans="1:48" ht="12.75">
      <c r="A70" s="5" t="s">
        <v>50</v>
      </c>
      <c r="B70" s="5"/>
      <c r="C70" s="5" t="s">
        <v>117</v>
      </c>
      <c r="D70" s="5" t="s">
        <v>190</v>
      </c>
      <c r="E70" s="5" t="s">
        <v>211</v>
      </c>
      <c r="F70" s="18">
        <v>22.3</v>
      </c>
      <c r="G70" s="101">
        <v>64</v>
      </c>
      <c r="H70" s="18">
        <f t="shared" si="22"/>
        <v>0</v>
      </c>
      <c r="I70" s="18">
        <f t="shared" si="23"/>
        <v>1427.2</v>
      </c>
      <c r="J70" s="18">
        <f t="shared" si="24"/>
        <v>1427.2</v>
      </c>
      <c r="K70" s="18">
        <v>0</v>
      </c>
      <c r="L70" s="18">
        <f t="shared" si="25"/>
        <v>0</v>
      </c>
      <c r="M70" s="32" t="s">
        <v>229</v>
      </c>
      <c r="P70" s="36">
        <f t="shared" si="26"/>
        <v>1427.2</v>
      </c>
      <c r="R70" s="36">
        <f t="shared" si="27"/>
        <v>0</v>
      </c>
      <c r="S70" s="36">
        <f t="shared" si="28"/>
        <v>0</v>
      </c>
      <c r="T70" s="36">
        <f t="shared" si="29"/>
        <v>0</v>
      </c>
      <c r="U70" s="36">
        <f t="shared" si="30"/>
        <v>0</v>
      </c>
      <c r="V70" s="36">
        <f t="shared" si="31"/>
        <v>0</v>
      </c>
      <c r="W70" s="36">
        <f t="shared" si="32"/>
        <v>0</v>
      </c>
      <c r="X70" s="36">
        <f t="shared" si="33"/>
        <v>0</v>
      </c>
      <c r="Y70" s="27"/>
      <c r="Z70" s="18">
        <f t="shared" si="34"/>
        <v>0</v>
      </c>
      <c r="AA70" s="18">
        <f t="shared" si="35"/>
        <v>0</v>
      </c>
      <c r="AB70" s="18">
        <f t="shared" si="36"/>
        <v>1427.2</v>
      </c>
      <c r="AD70" s="36">
        <v>21</v>
      </c>
      <c r="AE70" s="36">
        <f t="shared" si="37"/>
        <v>0</v>
      </c>
      <c r="AF70" s="36">
        <f t="shared" si="38"/>
        <v>64</v>
      </c>
      <c r="AG70" s="32" t="s">
        <v>11</v>
      </c>
      <c r="AM70" s="36">
        <f t="shared" si="39"/>
        <v>0</v>
      </c>
      <c r="AN70" s="36">
        <f t="shared" si="40"/>
        <v>1427.2</v>
      </c>
      <c r="AO70" s="37" t="s">
        <v>255</v>
      </c>
      <c r="AP70" s="37" t="s">
        <v>261</v>
      </c>
      <c r="AQ70" s="27" t="s">
        <v>262</v>
      </c>
      <c r="AS70" s="36">
        <f t="shared" si="41"/>
        <v>1427.2</v>
      </c>
      <c r="AT70" s="36">
        <f t="shared" si="42"/>
        <v>64</v>
      </c>
      <c r="AU70" s="36">
        <v>0</v>
      </c>
      <c r="AV70" s="36">
        <f t="shared" si="43"/>
        <v>0</v>
      </c>
    </row>
    <row r="71" spans="1:48" ht="12.75">
      <c r="A71" s="5" t="s">
        <v>51</v>
      </c>
      <c r="B71" s="5"/>
      <c r="C71" s="5" t="s">
        <v>118</v>
      </c>
      <c r="D71" s="5" t="s">
        <v>191</v>
      </c>
      <c r="E71" s="5" t="s">
        <v>211</v>
      </c>
      <c r="F71" s="18">
        <v>1.67</v>
      </c>
      <c r="G71" s="101">
        <v>147</v>
      </c>
      <c r="H71" s="18">
        <f t="shared" si="22"/>
        <v>0</v>
      </c>
      <c r="I71" s="18">
        <f t="shared" si="23"/>
        <v>245.48999999999998</v>
      </c>
      <c r="J71" s="18">
        <f t="shared" si="24"/>
        <v>245.48999999999998</v>
      </c>
      <c r="K71" s="18">
        <v>0</v>
      </c>
      <c r="L71" s="18">
        <f t="shared" si="25"/>
        <v>0</v>
      </c>
      <c r="M71" s="32" t="s">
        <v>229</v>
      </c>
      <c r="P71" s="36">
        <f t="shared" si="26"/>
        <v>245.48999999999998</v>
      </c>
      <c r="R71" s="36">
        <f t="shared" si="27"/>
        <v>0</v>
      </c>
      <c r="S71" s="36">
        <f t="shared" si="28"/>
        <v>0</v>
      </c>
      <c r="T71" s="36">
        <f t="shared" si="29"/>
        <v>0</v>
      </c>
      <c r="U71" s="36">
        <f t="shared" si="30"/>
        <v>0</v>
      </c>
      <c r="V71" s="36">
        <f t="shared" si="31"/>
        <v>0</v>
      </c>
      <c r="W71" s="36">
        <f t="shared" si="32"/>
        <v>0</v>
      </c>
      <c r="X71" s="36">
        <f t="shared" si="33"/>
        <v>0</v>
      </c>
      <c r="Y71" s="27"/>
      <c r="Z71" s="18">
        <f t="shared" si="34"/>
        <v>0</v>
      </c>
      <c r="AA71" s="18">
        <f t="shared" si="35"/>
        <v>0</v>
      </c>
      <c r="AB71" s="18">
        <f t="shared" si="36"/>
        <v>245.48999999999998</v>
      </c>
      <c r="AD71" s="36">
        <v>21</v>
      </c>
      <c r="AE71" s="36">
        <f t="shared" si="37"/>
        <v>0</v>
      </c>
      <c r="AF71" s="36">
        <f t="shared" si="38"/>
        <v>147</v>
      </c>
      <c r="AG71" s="32" t="s">
        <v>11</v>
      </c>
      <c r="AM71" s="36">
        <f t="shared" si="39"/>
        <v>0</v>
      </c>
      <c r="AN71" s="36">
        <f t="shared" si="40"/>
        <v>245.48999999999998</v>
      </c>
      <c r="AO71" s="37" t="s">
        <v>255</v>
      </c>
      <c r="AP71" s="37" t="s">
        <v>261</v>
      </c>
      <c r="AQ71" s="27" t="s">
        <v>262</v>
      </c>
      <c r="AS71" s="36">
        <f t="shared" si="41"/>
        <v>245.48999999999998</v>
      </c>
      <c r="AT71" s="36">
        <f t="shared" si="42"/>
        <v>147</v>
      </c>
      <c r="AU71" s="36">
        <v>0</v>
      </c>
      <c r="AV71" s="36">
        <f t="shared" si="43"/>
        <v>0</v>
      </c>
    </row>
    <row r="72" spans="1:48" ht="12.75">
      <c r="A72" s="5" t="s">
        <v>52</v>
      </c>
      <c r="B72" s="5"/>
      <c r="C72" s="5" t="s">
        <v>119</v>
      </c>
      <c r="D72" s="5" t="s">
        <v>192</v>
      </c>
      <c r="E72" s="5" t="s">
        <v>211</v>
      </c>
      <c r="F72" s="18">
        <v>3.34</v>
      </c>
      <c r="G72" s="101">
        <v>147</v>
      </c>
      <c r="H72" s="18">
        <f t="shared" si="22"/>
        <v>0</v>
      </c>
      <c r="I72" s="18">
        <f t="shared" si="23"/>
        <v>490.97999999999996</v>
      </c>
      <c r="J72" s="18">
        <f t="shared" si="24"/>
        <v>490.97999999999996</v>
      </c>
      <c r="K72" s="18">
        <v>0</v>
      </c>
      <c r="L72" s="18">
        <f t="shared" si="25"/>
        <v>0</v>
      </c>
      <c r="M72" s="32" t="s">
        <v>229</v>
      </c>
      <c r="P72" s="36">
        <f t="shared" si="26"/>
        <v>490.97999999999996</v>
      </c>
      <c r="R72" s="36">
        <f t="shared" si="27"/>
        <v>0</v>
      </c>
      <c r="S72" s="36">
        <f t="shared" si="28"/>
        <v>0</v>
      </c>
      <c r="T72" s="36">
        <f t="shared" si="29"/>
        <v>0</v>
      </c>
      <c r="U72" s="36">
        <f t="shared" si="30"/>
        <v>0</v>
      </c>
      <c r="V72" s="36">
        <f t="shared" si="31"/>
        <v>0</v>
      </c>
      <c r="W72" s="36">
        <f t="shared" si="32"/>
        <v>0</v>
      </c>
      <c r="X72" s="36">
        <f t="shared" si="33"/>
        <v>0</v>
      </c>
      <c r="Y72" s="27"/>
      <c r="Z72" s="18">
        <f t="shared" si="34"/>
        <v>0</v>
      </c>
      <c r="AA72" s="18">
        <f t="shared" si="35"/>
        <v>0</v>
      </c>
      <c r="AB72" s="18">
        <f t="shared" si="36"/>
        <v>490.97999999999996</v>
      </c>
      <c r="AD72" s="36">
        <v>21</v>
      </c>
      <c r="AE72" s="36">
        <f t="shared" si="37"/>
        <v>0</v>
      </c>
      <c r="AF72" s="36">
        <f t="shared" si="38"/>
        <v>147</v>
      </c>
      <c r="AG72" s="32" t="s">
        <v>11</v>
      </c>
      <c r="AM72" s="36">
        <f t="shared" si="39"/>
        <v>0</v>
      </c>
      <c r="AN72" s="36">
        <f t="shared" si="40"/>
        <v>490.97999999999996</v>
      </c>
      <c r="AO72" s="37" t="s">
        <v>255</v>
      </c>
      <c r="AP72" s="37" t="s">
        <v>261</v>
      </c>
      <c r="AQ72" s="27" t="s">
        <v>262</v>
      </c>
      <c r="AS72" s="36">
        <f t="shared" si="41"/>
        <v>490.97999999999996</v>
      </c>
      <c r="AT72" s="36">
        <f t="shared" si="42"/>
        <v>147</v>
      </c>
      <c r="AU72" s="36">
        <v>0</v>
      </c>
      <c r="AV72" s="36">
        <f t="shared" si="43"/>
        <v>0</v>
      </c>
    </row>
    <row r="73" spans="1:48" ht="12.75">
      <c r="A73" s="5" t="s">
        <v>53</v>
      </c>
      <c r="B73" s="5"/>
      <c r="C73" s="5" t="s">
        <v>325</v>
      </c>
      <c r="D73" s="5" t="s">
        <v>326</v>
      </c>
      <c r="E73" s="5" t="s">
        <v>211</v>
      </c>
      <c r="F73" s="18">
        <v>0.73</v>
      </c>
      <c r="G73" s="101">
        <v>64</v>
      </c>
      <c r="H73" s="18">
        <f t="shared" si="22"/>
        <v>0</v>
      </c>
      <c r="I73" s="18">
        <f t="shared" si="23"/>
        <v>46.72</v>
      </c>
      <c r="J73" s="18">
        <f t="shared" si="24"/>
        <v>46.72</v>
      </c>
      <c r="K73" s="18">
        <v>0</v>
      </c>
      <c r="L73" s="18">
        <f t="shared" si="25"/>
        <v>0</v>
      </c>
      <c r="M73" s="32" t="s">
        <v>229</v>
      </c>
      <c r="P73" s="36">
        <f t="shared" si="26"/>
        <v>46.72</v>
      </c>
      <c r="R73" s="36">
        <f t="shared" si="27"/>
        <v>0</v>
      </c>
      <c r="S73" s="36">
        <f t="shared" si="28"/>
        <v>0</v>
      </c>
      <c r="T73" s="36">
        <f t="shared" si="29"/>
        <v>0</v>
      </c>
      <c r="U73" s="36">
        <f t="shared" si="30"/>
        <v>0</v>
      </c>
      <c r="V73" s="36">
        <f t="shared" si="31"/>
        <v>0</v>
      </c>
      <c r="W73" s="36">
        <f t="shared" si="32"/>
        <v>0</v>
      </c>
      <c r="X73" s="36">
        <f t="shared" si="33"/>
        <v>0</v>
      </c>
      <c r="Y73" s="27"/>
      <c r="Z73" s="18">
        <f t="shared" si="34"/>
        <v>0</v>
      </c>
      <c r="AA73" s="18">
        <f t="shared" si="35"/>
        <v>0</v>
      </c>
      <c r="AB73" s="18">
        <f t="shared" si="36"/>
        <v>46.72</v>
      </c>
      <c r="AD73" s="36">
        <v>21</v>
      </c>
      <c r="AE73" s="36">
        <f t="shared" si="37"/>
        <v>0</v>
      </c>
      <c r="AF73" s="36">
        <f t="shared" si="38"/>
        <v>64</v>
      </c>
      <c r="AG73" s="32" t="s">
        <v>11</v>
      </c>
      <c r="AM73" s="36">
        <f t="shared" si="39"/>
        <v>0</v>
      </c>
      <c r="AN73" s="36">
        <f t="shared" si="40"/>
        <v>46.72</v>
      </c>
      <c r="AO73" s="37" t="s">
        <v>255</v>
      </c>
      <c r="AP73" s="37" t="s">
        <v>261</v>
      </c>
      <c r="AQ73" s="27" t="s">
        <v>262</v>
      </c>
      <c r="AS73" s="36">
        <f t="shared" si="41"/>
        <v>46.72</v>
      </c>
      <c r="AT73" s="36">
        <f t="shared" si="42"/>
        <v>64</v>
      </c>
      <c r="AU73" s="36">
        <v>0</v>
      </c>
      <c r="AV73" s="36">
        <f t="shared" si="43"/>
        <v>0</v>
      </c>
    </row>
    <row r="74" spans="1:48" ht="12.75">
      <c r="A74" s="5" t="s">
        <v>54</v>
      </c>
      <c r="B74" s="5"/>
      <c r="C74" s="5" t="s">
        <v>327</v>
      </c>
      <c r="D74" s="5" t="s">
        <v>328</v>
      </c>
      <c r="E74" s="5" t="s">
        <v>211</v>
      </c>
      <c r="F74" s="18">
        <v>3.65</v>
      </c>
      <c r="G74" s="101">
        <v>64</v>
      </c>
      <c r="H74" s="18">
        <f t="shared" si="22"/>
        <v>0</v>
      </c>
      <c r="I74" s="18">
        <f t="shared" si="23"/>
        <v>233.6</v>
      </c>
      <c r="J74" s="18">
        <f t="shared" si="24"/>
        <v>233.6</v>
      </c>
      <c r="K74" s="18">
        <v>0</v>
      </c>
      <c r="L74" s="18">
        <f t="shared" si="25"/>
        <v>0</v>
      </c>
      <c r="M74" s="32" t="s">
        <v>229</v>
      </c>
      <c r="P74" s="36">
        <f t="shared" si="26"/>
        <v>233.6</v>
      </c>
      <c r="R74" s="36">
        <f t="shared" si="27"/>
        <v>0</v>
      </c>
      <c r="S74" s="36">
        <f t="shared" si="28"/>
        <v>0</v>
      </c>
      <c r="T74" s="36">
        <f t="shared" si="29"/>
        <v>0</v>
      </c>
      <c r="U74" s="36">
        <f t="shared" si="30"/>
        <v>0</v>
      </c>
      <c r="V74" s="36">
        <f t="shared" si="31"/>
        <v>0</v>
      </c>
      <c r="W74" s="36">
        <f t="shared" si="32"/>
        <v>0</v>
      </c>
      <c r="X74" s="36">
        <f t="shared" si="33"/>
        <v>0</v>
      </c>
      <c r="Y74" s="27"/>
      <c r="Z74" s="18">
        <f t="shared" si="34"/>
        <v>0</v>
      </c>
      <c r="AA74" s="18">
        <f t="shared" si="35"/>
        <v>0</v>
      </c>
      <c r="AB74" s="18">
        <f t="shared" si="36"/>
        <v>233.6</v>
      </c>
      <c r="AD74" s="36">
        <v>21</v>
      </c>
      <c r="AE74" s="36">
        <f t="shared" si="37"/>
        <v>0</v>
      </c>
      <c r="AF74" s="36">
        <f t="shared" si="38"/>
        <v>64</v>
      </c>
      <c r="AG74" s="32" t="s">
        <v>11</v>
      </c>
      <c r="AM74" s="36">
        <f t="shared" si="39"/>
        <v>0</v>
      </c>
      <c r="AN74" s="36">
        <f t="shared" si="40"/>
        <v>233.6</v>
      </c>
      <c r="AO74" s="37" t="s">
        <v>255</v>
      </c>
      <c r="AP74" s="37" t="s">
        <v>261</v>
      </c>
      <c r="AQ74" s="27" t="s">
        <v>262</v>
      </c>
      <c r="AS74" s="36">
        <f t="shared" si="41"/>
        <v>233.6</v>
      </c>
      <c r="AT74" s="36">
        <f t="shared" si="42"/>
        <v>64</v>
      </c>
      <c r="AU74" s="36">
        <v>0</v>
      </c>
      <c r="AV74" s="36">
        <f t="shared" si="43"/>
        <v>0</v>
      </c>
    </row>
    <row r="75" spans="1:37" ht="12.75">
      <c r="A75" s="6"/>
      <c r="B75" s="14"/>
      <c r="C75" s="14" t="s">
        <v>120</v>
      </c>
      <c r="D75" s="14" t="s">
        <v>193</v>
      </c>
      <c r="E75" s="6" t="s">
        <v>6</v>
      </c>
      <c r="F75" s="6" t="s">
        <v>6</v>
      </c>
      <c r="G75" s="6"/>
      <c r="H75" s="39">
        <f>SUM(H76:H81)</f>
        <v>7.603523148148147</v>
      </c>
      <c r="I75" s="39">
        <f>SUM(I76:I81)</f>
        <v>7732.496476851852</v>
      </c>
      <c r="J75" s="39">
        <f>H75+I75</f>
        <v>7740.1</v>
      </c>
      <c r="K75" s="27"/>
      <c r="L75" s="39">
        <f>SUM(L76:L81)</f>
        <v>0</v>
      </c>
      <c r="M75" s="27"/>
      <c r="Y75" s="27"/>
      <c r="AI75" s="39">
        <f>SUM(Z76:Z81)</f>
        <v>0</v>
      </c>
      <c r="AJ75" s="39">
        <f>SUM(AA76:AA81)</f>
        <v>0</v>
      </c>
      <c r="AK75" s="39">
        <f>SUM(AB76:AB81)</f>
        <v>7740.099999999999</v>
      </c>
    </row>
    <row r="76" spans="1:48" ht="12.75">
      <c r="A76" s="5" t="s">
        <v>55</v>
      </c>
      <c r="B76" s="5"/>
      <c r="C76" s="5" t="s">
        <v>121</v>
      </c>
      <c r="D76" s="5" t="s">
        <v>194</v>
      </c>
      <c r="E76" s="5" t="s">
        <v>211</v>
      </c>
      <c r="F76" s="18">
        <v>5.05</v>
      </c>
      <c r="G76" s="101">
        <v>234</v>
      </c>
      <c r="H76" s="18">
        <f aca="true" t="shared" si="44" ref="H76:H81">F76*AE76</f>
        <v>0</v>
      </c>
      <c r="I76" s="18">
        <f aca="true" t="shared" si="45" ref="I76:I81">J76-H76</f>
        <v>1181.7</v>
      </c>
      <c r="J76" s="18">
        <f aca="true" t="shared" si="46" ref="J76:J81">F76*G76</f>
        <v>1181.7</v>
      </c>
      <c r="K76" s="18">
        <v>0</v>
      </c>
      <c r="L76" s="18">
        <f aca="true" t="shared" si="47" ref="L76:L81">F76*K76</f>
        <v>0</v>
      </c>
      <c r="M76" s="32" t="s">
        <v>229</v>
      </c>
      <c r="P76" s="36">
        <f aca="true" t="shared" si="48" ref="P76:P81">IF(AG76="5",J76,0)</f>
        <v>1181.7</v>
      </c>
      <c r="R76" s="36">
        <f aca="true" t="shared" si="49" ref="R76:R81">IF(AG76="1",H76,0)</f>
        <v>0</v>
      </c>
      <c r="S76" s="36">
        <f aca="true" t="shared" si="50" ref="S76:S81">IF(AG76="1",I76,0)</f>
        <v>0</v>
      </c>
      <c r="T76" s="36">
        <f aca="true" t="shared" si="51" ref="T76:T81">IF(AG76="7",H76,0)</f>
        <v>0</v>
      </c>
      <c r="U76" s="36">
        <f aca="true" t="shared" si="52" ref="U76:U81">IF(AG76="7",I76,0)</f>
        <v>0</v>
      </c>
      <c r="V76" s="36">
        <f aca="true" t="shared" si="53" ref="V76:V81">IF(AG76="2",H76,0)</f>
        <v>0</v>
      </c>
      <c r="W76" s="36">
        <f aca="true" t="shared" si="54" ref="W76:W81">IF(AG76="2",I76,0)</f>
        <v>0</v>
      </c>
      <c r="X76" s="36">
        <f aca="true" t="shared" si="55" ref="X76:X81">IF(AG76="0",J76,0)</f>
        <v>0</v>
      </c>
      <c r="Y76" s="27"/>
      <c r="Z76" s="18">
        <f aca="true" t="shared" si="56" ref="Z76:Z81">IF(AD76=0,J76,0)</f>
        <v>0</v>
      </c>
      <c r="AA76" s="18">
        <f aca="true" t="shared" si="57" ref="AA76:AA81">IF(AD76=15,J76,0)</f>
        <v>0</v>
      </c>
      <c r="AB76" s="18">
        <f aca="true" t="shared" si="58" ref="AB76:AB81">IF(AD76=21,J76,0)</f>
        <v>1181.7</v>
      </c>
      <c r="AD76" s="36">
        <v>21</v>
      </c>
      <c r="AE76" s="36">
        <f>G76*0</f>
        <v>0</v>
      </c>
      <c r="AF76" s="36">
        <f>G76*(1-0)</f>
        <v>234</v>
      </c>
      <c r="AG76" s="32" t="s">
        <v>11</v>
      </c>
      <c r="AM76" s="36">
        <f aca="true" t="shared" si="59" ref="AM76:AM81">F76*AE76</f>
        <v>0</v>
      </c>
      <c r="AN76" s="36">
        <f aca="true" t="shared" si="60" ref="AN76:AN81">F76*AF76</f>
        <v>1181.7</v>
      </c>
      <c r="AO76" s="37" t="s">
        <v>256</v>
      </c>
      <c r="AP76" s="37" t="s">
        <v>261</v>
      </c>
      <c r="AQ76" s="27" t="s">
        <v>262</v>
      </c>
      <c r="AS76" s="36">
        <f aca="true" t="shared" si="61" ref="AS76:AS81">AM76+AN76</f>
        <v>1181.7</v>
      </c>
      <c r="AT76" s="36">
        <f aca="true" t="shared" si="62" ref="AT76:AT81">G76/(100-AU76)*100</f>
        <v>234</v>
      </c>
      <c r="AU76" s="36">
        <v>0</v>
      </c>
      <c r="AV76" s="36">
        <f aca="true" t="shared" si="63" ref="AV76:AV81">L76</f>
        <v>0</v>
      </c>
    </row>
    <row r="77" spans="1:48" ht="12.75">
      <c r="A77" s="5" t="s">
        <v>56</v>
      </c>
      <c r="B77" s="5"/>
      <c r="C77" s="5" t="s">
        <v>122</v>
      </c>
      <c r="D77" s="5" t="s">
        <v>195</v>
      </c>
      <c r="E77" s="5" t="s">
        <v>211</v>
      </c>
      <c r="F77" s="18">
        <v>5.05</v>
      </c>
      <c r="G77" s="101">
        <v>20</v>
      </c>
      <c r="H77" s="18">
        <f t="shared" si="44"/>
        <v>0</v>
      </c>
      <c r="I77" s="18">
        <f t="shared" si="45"/>
        <v>101</v>
      </c>
      <c r="J77" s="18">
        <f t="shared" si="46"/>
        <v>101</v>
      </c>
      <c r="K77" s="18">
        <v>0</v>
      </c>
      <c r="L77" s="18">
        <f t="shared" si="47"/>
        <v>0</v>
      </c>
      <c r="M77" s="32" t="s">
        <v>229</v>
      </c>
      <c r="P77" s="36">
        <f t="shared" si="48"/>
        <v>101</v>
      </c>
      <c r="R77" s="36">
        <f t="shared" si="49"/>
        <v>0</v>
      </c>
      <c r="S77" s="36">
        <f t="shared" si="50"/>
        <v>0</v>
      </c>
      <c r="T77" s="36">
        <f t="shared" si="51"/>
        <v>0</v>
      </c>
      <c r="U77" s="36">
        <f t="shared" si="52"/>
        <v>0</v>
      </c>
      <c r="V77" s="36">
        <f t="shared" si="53"/>
        <v>0</v>
      </c>
      <c r="W77" s="36">
        <f t="shared" si="54"/>
        <v>0</v>
      </c>
      <c r="X77" s="36">
        <f t="shared" si="55"/>
        <v>0</v>
      </c>
      <c r="Y77" s="27"/>
      <c r="Z77" s="18">
        <f t="shared" si="56"/>
        <v>0</v>
      </c>
      <c r="AA77" s="18">
        <f t="shared" si="57"/>
        <v>0</v>
      </c>
      <c r="AB77" s="18">
        <f t="shared" si="58"/>
        <v>101</v>
      </c>
      <c r="AD77" s="36">
        <v>21</v>
      </c>
      <c r="AE77" s="36">
        <f>G77*0</f>
        <v>0</v>
      </c>
      <c r="AF77" s="36">
        <f>G77*(1-0)</f>
        <v>20</v>
      </c>
      <c r="AG77" s="32" t="s">
        <v>11</v>
      </c>
      <c r="AM77" s="36">
        <f t="shared" si="59"/>
        <v>0</v>
      </c>
      <c r="AN77" s="36">
        <f t="shared" si="60"/>
        <v>101</v>
      </c>
      <c r="AO77" s="37" t="s">
        <v>256</v>
      </c>
      <c r="AP77" s="37" t="s">
        <v>261</v>
      </c>
      <c r="AQ77" s="27" t="s">
        <v>262</v>
      </c>
      <c r="AS77" s="36">
        <f t="shared" si="61"/>
        <v>101</v>
      </c>
      <c r="AT77" s="36">
        <f t="shared" si="62"/>
        <v>20</v>
      </c>
      <c r="AU77" s="36">
        <v>0</v>
      </c>
      <c r="AV77" s="36">
        <f t="shared" si="63"/>
        <v>0</v>
      </c>
    </row>
    <row r="78" spans="1:48" ht="12.75">
      <c r="A78" s="5" t="s">
        <v>57</v>
      </c>
      <c r="B78" s="5"/>
      <c r="C78" s="5" t="s">
        <v>123</v>
      </c>
      <c r="D78" s="5" t="s">
        <v>196</v>
      </c>
      <c r="E78" s="5" t="s">
        <v>211</v>
      </c>
      <c r="F78" s="18">
        <v>0.6</v>
      </c>
      <c r="G78" s="101">
        <v>731</v>
      </c>
      <c r="H78" s="18">
        <f t="shared" si="44"/>
        <v>0</v>
      </c>
      <c r="I78" s="18">
        <f t="shared" si="45"/>
        <v>438.59999999999997</v>
      </c>
      <c r="J78" s="18">
        <f t="shared" si="46"/>
        <v>438.59999999999997</v>
      </c>
      <c r="K78" s="18">
        <v>0</v>
      </c>
      <c r="L78" s="18">
        <f t="shared" si="47"/>
        <v>0</v>
      </c>
      <c r="M78" s="32" t="s">
        <v>229</v>
      </c>
      <c r="P78" s="36">
        <f t="shared" si="48"/>
        <v>438.59999999999997</v>
      </c>
      <c r="R78" s="36">
        <f t="shared" si="49"/>
        <v>0</v>
      </c>
      <c r="S78" s="36">
        <f t="shared" si="50"/>
        <v>0</v>
      </c>
      <c r="T78" s="36">
        <f t="shared" si="51"/>
        <v>0</v>
      </c>
      <c r="U78" s="36">
        <f t="shared" si="52"/>
        <v>0</v>
      </c>
      <c r="V78" s="36">
        <f t="shared" si="53"/>
        <v>0</v>
      </c>
      <c r="W78" s="36">
        <f t="shared" si="54"/>
        <v>0</v>
      </c>
      <c r="X78" s="36">
        <f t="shared" si="55"/>
        <v>0</v>
      </c>
      <c r="Y78" s="27"/>
      <c r="Z78" s="18">
        <f t="shared" si="56"/>
        <v>0</v>
      </c>
      <c r="AA78" s="18">
        <f t="shared" si="57"/>
        <v>0</v>
      </c>
      <c r="AB78" s="18">
        <f t="shared" si="58"/>
        <v>438.59999999999997</v>
      </c>
      <c r="AD78" s="36">
        <v>21</v>
      </c>
      <c r="AE78" s="36">
        <f>G78*0</f>
        <v>0</v>
      </c>
      <c r="AF78" s="36">
        <f>G78*(1-0)</f>
        <v>731</v>
      </c>
      <c r="AG78" s="32" t="s">
        <v>11</v>
      </c>
      <c r="AM78" s="36">
        <f t="shared" si="59"/>
        <v>0</v>
      </c>
      <c r="AN78" s="36">
        <f t="shared" si="60"/>
        <v>438.59999999999997</v>
      </c>
      <c r="AO78" s="37" t="s">
        <v>256</v>
      </c>
      <c r="AP78" s="37" t="s">
        <v>261</v>
      </c>
      <c r="AQ78" s="27" t="s">
        <v>262</v>
      </c>
      <c r="AS78" s="36">
        <f t="shared" si="61"/>
        <v>438.59999999999997</v>
      </c>
      <c r="AT78" s="36">
        <f t="shared" si="62"/>
        <v>731</v>
      </c>
      <c r="AU78" s="36">
        <v>0</v>
      </c>
      <c r="AV78" s="36">
        <f t="shared" si="63"/>
        <v>0</v>
      </c>
    </row>
    <row r="79" spans="1:48" ht="12.75">
      <c r="A79" s="5" t="s">
        <v>58</v>
      </c>
      <c r="B79" s="5"/>
      <c r="C79" s="5" t="s">
        <v>124</v>
      </c>
      <c r="D79" s="5" t="s">
        <v>197</v>
      </c>
      <c r="E79" s="5" t="s">
        <v>211</v>
      </c>
      <c r="F79" s="18">
        <v>5.05</v>
      </c>
      <c r="G79" s="101">
        <v>161</v>
      </c>
      <c r="H79" s="18">
        <f t="shared" si="44"/>
        <v>7.603523148148147</v>
      </c>
      <c r="I79" s="18">
        <f t="shared" si="45"/>
        <v>805.4464768518518</v>
      </c>
      <c r="J79" s="18">
        <f t="shared" si="46"/>
        <v>813.05</v>
      </c>
      <c r="K79" s="18">
        <v>0</v>
      </c>
      <c r="L79" s="18">
        <f t="shared" si="47"/>
        <v>0</v>
      </c>
      <c r="M79" s="32" t="s">
        <v>229</v>
      </c>
      <c r="P79" s="36">
        <f t="shared" si="48"/>
        <v>813.05</v>
      </c>
      <c r="R79" s="36">
        <f t="shared" si="49"/>
        <v>0</v>
      </c>
      <c r="S79" s="36">
        <f t="shared" si="50"/>
        <v>0</v>
      </c>
      <c r="T79" s="36">
        <f t="shared" si="51"/>
        <v>0</v>
      </c>
      <c r="U79" s="36">
        <f t="shared" si="52"/>
        <v>0</v>
      </c>
      <c r="V79" s="36">
        <f t="shared" si="53"/>
        <v>0</v>
      </c>
      <c r="W79" s="36">
        <f t="shared" si="54"/>
        <v>0</v>
      </c>
      <c r="X79" s="36">
        <f t="shared" si="55"/>
        <v>0</v>
      </c>
      <c r="Y79" s="27"/>
      <c r="Z79" s="18">
        <f t="shared" si="56"/>
        <v>0</v>
      </c>
      <c r="AA79" s="18">
        <f t="shared" si="57"/>
        <v>0</v>
      </c>
      <c r="AB79" s="18">
        <f t="shared" si="58"/>
        <v>813.05</v>
      </c>
      <c r="AD79" s="36">
        <v>21</v>
      </c>
      <c r="AE79" s="36">
        <f>G79*0.00935185185185185</f>
        <v>1.505648148148148</v>
      </c>
      <c r="AF79" s="36">
        <f>G79*(1-0.00935185185185185)</f>
        <v>159.49435185185186</v>
      </c>
      <c r="AG79" s="32" t="s">
        <v>11</v>
      </c>
      <c r="AM79" s="36">
        <f t="shared" si="59"/>
        <v>7.603523148148147</v>
      </c>
      <c r="AN79" s="36">
        <f t="shared" si="60"/>
        <v>805.4464768518519</v>
      </c>
      <c r="AO79" s="37" t="s">
        <v>256</v>
      </c>
      <c r="AP79" s="37" t="s">
        <v>261</v>
      </c>
      <c r="AQ79" s="27" t="s">
        <v>262</v>
      </c>
      <c r="AS79" s="36">
        <f t="shared" si="61"/>
        <v>813.0500000000001</v>
      </c>
      <c r="AT79" s="36">
        <f t="shared" si="62"/>
        <v>161</v>
      </c>
      <c r="AU79" s="36">
        <v>0</v>
      </c>
      <c r="AV79" s="36">
        <f t="shared" si="63"/>
        <v>0</v>
      </c>
    </row>
    <row r="80" spans="1:48" ht="12.75">
      <c r="A80" s="5" t="s">
        <v>59</v>
      </c>
      <c r="B80" s="5"/>
      <c r="C80" s="5" t="s">
        <v>125</v>
      </c>
      <c r="D80" s="5" t="s">
        <v>198</v>
      </c>
      <c r="E80" s="5" t="s">
        <v>211</v>
      </c>
      <c r="F80" s="18">
        <v>20.2</v>
      </c>
      <c r="G80" s="101">
        <v>161</v>
      </c>
      <c r="H80" s="18">
        <f t="shared" si="44"/>
        <v>0</v>
      </c>
      <c r="I80" s="18">
        <f t="shared" si="45"/>
        <v>3252.2</v>
      </c>
      <c r="J80" s="18">
        <f t="shared" si="46"/>
        <v>3252.2</v>
      </c>
      <c r="K80" s="18">
        <v>0</v>
      </c>
      <c r="L80" s="18">
        <f t="shared" si="47"/>
        <v>0</v>
      </c>
      <c r="M80" s="32" t="s">
        <v>229</v>
      </c>
      <c r="P80" s="36">
        <f t="shared" si="48"/>
        <v>3252.2</v>
      </c>
      <c r="R80" s="36">
        <f t="shared" si="49"/>
        <v>0</v>
      </c>
      <c r="S80" s="36">
        <f t="shared" si="50"/>
        <v>0</v>
      </c>
      <c r="T80" s="36">
        <f t="shared" si="51"/>
        <v>0</v>
      </c>
      <c r="U80" s="36">
        <f t="shared" si="52"/>
        <v>0</v>
      </c>
      <c r="V80" s="36">
        <f t="shared" si="53"/>
        <v>0</v>
      </c>
      <c r="W80" s="36">
        <f t="shared" si="54"/>
        <v>0</v>
      </c>
      <c r="X80" s="36">
        <f t="shared" si="55"/>
        <v>0</v>
      </c>
      <c r="Y80" s="27"/>
      <c r="Z80" s="18">
        <f t="shared" si="56"/>
        <v>0</v>
      </c>
      <c r="AA80" s="18">
        <f t="shared" si="57"/>
        <v>0</v>
      </c>
      <c r="AB80" s="18">
        <f t="shared" si="58"/>
        <v>3252.2</v>
      </c>
      <c r="AD80" s="36">
        <v>21</v>
      </c>
      <c r="AE80" s="36">
        <f>G80*0</f>
        <v>0</v>
      </c>
      <c r="AF80" s="36">
        <f>G80*(1-0)</f>
        <v>161</v>
      </c>
      <c r="AG80" s="32" t="s">
        <v>11</v>
      </c>
      <c r="AM80" s="36">
        <f t="shared" si="59"/>
        <v>0</v>
      </c>
      <c r="AN80" s="36">
        <f t="shared" si="60"/>
        <v>3252.2</v>
      </c>
      <c r="AO80" s="37" t="s">
        <v>256</v>
      </c>
      <c r="AP80" s="37" t="s">
        <v>261</v>
      </c>
      <c r="AQ80" s="27" t="s">
        <v>262</v>
      </c>
      <c r="AS80" s="36">
        <f t="shared" si="61"/>
        <v>3252.2</v>
      </c>
      <c r="AT80" s="36">
        <f t="shared" si="62"/>
        <v>161</v>
      </c>
      <c r="AU80" s="36">
        <v>0</v>
      </c>
      <c r="AV80" s="36">
        <f t="shared" si="63"/>
        <v>0</v>
      </c>
    </row>
    <row r="81" spans="1:48" ht="12.75">
      <c r="A81" s="8" t="s">
        <v>60</v>
      </c>
      <c r="B81" s="8"/>
      <c r="C81" s="8" t="s">
        <v>126</v>
      </c>
      <c r="D81" s="8" t="s">
        <v>199</v>
      </c>
      <c r="E81" s="8" t="s">
        <v>211</v>
      </c>
      <c r="F81" s="20">
        <v>4.45</v>
      </c>
      <c r="G81" s="103">
        <v>439</v>
      </c>
      <c r="H81" s="20">
        <f t="shared" si="44"/>
        <v>0</v>
      </c>
      <c r="I81" s="20">
        <f t="shared" si="45"/>
        <v>1953.5500000000002</v>
      </c>
      <c r="J81" s="20">
        <f t="shared" si="46"/>
        <v>1953.5500000000002</v>
      </c>
      <c r="K81" s="20">
        <v>0</v>
      </c>
      <c r="L81" s="20">
        <f t="shared" si="47"/>
        <v>0</v>
      </c>
      <c r="M81" s="34" t="s">
        <v>230</v>
      </c>
      <c r="P81" s="36">
        <f t="shared" si="48"/>
        <v>1953.5500000000002</v>
      </c>
      <c r="R81" s="36">
        <f t="shared" si="49"/>
        <v>0</v>
      </c>
      <c r="S81" s="36">
        <f t="shared" si="50"/>
        <v>0</v>
      </c>
      <c r="T81" s="36">
        <f t="shared" si="51"/>
        <v>0</v>
      </c>
      <c r="U81" s="36">
        <f t="shared" si="52"/>
        <v>0</v>
      </c>
      <c r="V81" s="36">
        <f t="shared" si="53"/>
        <v>0</v>
      </c>
      <c r="W81" s="36">
        <f t="shared" si="54"/>
        <v>0</v>
      </c>
      <c r="X81" s="36">
        <f t="shared" si="55"/>
        <v>0</v>
      </c>
      <c r="Y81" s="27"/>
      <c r="Z81" s="18">
        <f t="shared" si="56"/>
        <v>0</v>
      </c>
      <c r="AA81" s="18">
        <f t="shared" si="57"/>
        <v>0</v>
      </c>
      <c r="AB81" s="18">
        <f t="shared" si="58"/>
        <v>1953.5500000000002</v>
      </c>
      <c r="AD81" s="36">
        <v>21</v>
      </c>
      <c r="AE81" s="36">
        <f>G81*0</f>
        <v>0</v>
      </c>
      <c r="AF81" s="36">
        <f>G81*(1-0)</f>
        <v>439</v>
      </c>
      <c r="AG81" s="32" t="s">
        <v>11</v>
      </c>
      <c r="AM81" s="36">
        <f t="shared" si="59"/>
        <v>0</v>
      </c>
      <c r="AN81" s="36">
        <f t="shared" si="60"/>
        <v>1953.5500000000002</v>
      </c>
      <c r="AO81" s="37" t="s">
        <v>256</v>
      </c>
      <c r="AP81" s="37" t="s">
        <v>261</v>
      </c>
      <c r="AQ81" s="27" t="s">
        <v>262</v>
      </c>
      <c r="AS81" s="36">
        <f t="shared" si="61"/>
        <v>1953.5500000000002</v>
      </c>
      <c r="AT81" s="36">
        <f t="shared" si="62"/>
        <v>438.99999999999994</v>
      </c>
      <c r="AU81" s="36">
        <v>0</v>
      </c>
      <c r="AV81" s="36">
        <f t="shared" si="63"/>
        <v>0</v>
      </c>
    </row>
    <row r="82" spans="1:13" ht="12.75">
      <c r="A82" s="9"/>
      <c r="B82" s="9"/>
      <c r="C82" s="9"/>
      <c r="D82" s="9"/>
      <c r="E82" s="9"/>
      <c r="F82" s="9"/>
      <c r="G82" s="9"/>
      <c r="H82" s="158" t="s">
        <v>217</v>
      </c>
      <c r="I82" s="111"/>
      <c r="J82" s="40">
        <f>ROUND(J12+J15+J20+J22+J24+J26+J30+J32+J34+J38+J42+J47+J50+J64+J66+J75,0)</f>
        <v>96170</v>
      </c>
      <c r="K82" s="9"/>
      <c r="L82" s="9"/>
      <c r="M82" s="9"/>
    </row>
    <row r="83" ht="11.25" customHeight="1">
      <c r="A83" s="10" t="s">
        <v>62</v>
      </c>
    </row>
  </sheetData>
  <sheetProtection password="CB35" sheet="1"/>
  <mergeCells count="28">
    <mergeCell ref="H10:J10"/>
    <mergeCell ref="K10:L10"/>
    <mergeCell ref="H82:I82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4"/>
      <c r="B1" s="50"/>
      <c r="C1" s="104" t="s">
        <v>284</v>
      </c>
      <c r="D1" s="105"/>
      <c r="E1" s="105"/>
      <c r="F1" s="105"/>
      <c r="G1" s="105"/>
      <c r="H1" s="105"/>
      <c r="I1" s="105"/>
    </row>
    <row r="2" spans="1:10" ht="12.75">
      <c r="A2" s="106" t="s">
        <v>1</v>
      </c>
      <c r="B2" s="107"/>
      <c r="C2" s="110" t="str">
        <f>'Stavební rozpočet-KŘ'!D2</f>
        <v>Stavební úpravy chodníků v ul. Žitomířská, město Český Brod</v>
      </c>
      <c r="D2" s="111"/>
      <c r="E2" s="113" t="s">
        <v>218</v>
      </c>
      <c r="F2" s="113" t="str">
        <f>'Stavební rozpočet-KŘ'!J2</f>
        <v>Město Český Brod</v>
      </c>
      <c r="G2" s="107"/>
      <c r="H2" s="113" t="s">
        <v>309</v>
      </c>
      <c r="I2" s="114"/>
      <c r="J2" s="1"/>
    </row>
    <row r="3" spans="1:10" ht="12.75">
      <c r="A3" s="108"/>
      <c r="B3" s="109"/>
      <c r="C3" s="112"/>
      <c r="D3" s="112"/>
      <c r="E3" s="109"/>
      <c r="F3" s="109"/>
      <c r="G3" s="109"/>
      <c r="H3" s="109"/>
      <c r="I3" s="115"/>
      <c r="J3" s="1"/>
    </row>
    <row r="4" spans="1:10" ht="12.75">
      <c r="A4" s="116" t="s">
        <v>2</v>
      </c>
      <c r="B4" s="109"/>
      <c r="C4" s="117" t="str">
        <f>'Stavební rozpočet-KŘ'!D4</f>
        <v> </v>
      </c>
      <c r="D4" s="109"/>
      <c r="E4" s="117" t="s">
        <v>219</v>
      </c>
      <c r="F4" s="117" t="str">
        <f>'Stavební rozpočet-KŘ'!J4</f>
        <v>Aleš Jambor</v>
      </c>
      <c r="G4" s="109"/>
      <c r="H4" s="117" t="s">
        <v>309</v>
      </c>
      <c r="I4" s="118"/>
      <c r="J4" s="1"/>
    </row>
    <row r="5" spans="1:10" ht="12.75">
      <c r="A5" s="108"/>
      <c r="B5" s="109"/>
      <c r="C5" s="109"/>
      <c r="D5" s="109"/>
      <c r="E5" s="109"/>
      <c r="F5" s="109"/>
      <c r="G5" s="109"/>
      <c r="H5" s="109"/>
      <c r="I5" s="115"/>
      <c r="J5" s="1"/>
    </row>
    <row r="6" spans="1:10" ht="12.75">
      <c r="A6" s="116" t="s">
        <v>3</v>
      </c>
      <c r="B6" s="109"/>
      <c r="C6" s="117" t="str">
        <f>'Stavební rozpočet-KŘ'!D6</f>
        <v>křižovatka ul. Žitomířská a ul. B. Smetany</v>
      </c>
      <c r="D6" s="109"/>
      <c r="E6" s="117" t="s">
        <v>220</v>
      </c>
      <c r="F6" s="117" t="str">
        <f>'Stavební rozpočet-KŘ'!J6</f>
        <v> </v>
      </c>
      <c r="G6" s="109"/>
      <c r="H6" s="117" t="s">
        <v>309</v>
      </c>
      <c r="I6" s="118"/>
      <c r="J6" s="1"/>
    </row>
    <row r="7" spans="1:10" ht="12.75">
      <c r="A7" s="108"/>
      <c r="B7" s="109"/>
      <c r="C7" s="109"/>
      <c r="D7" s="109"/>
      <c r="E7" s="109"/>
      <c r="F7" s="109"/>
      <c r="G7" s="109"/>
      <c r="H7" s="109"/>
      <c r="I7" s="115"/>
      <c r="J7" s="1"/>
    </row>
    <row r="8" spans="1:10" ht="12.75">
      <c r="A8" s="116" t="s">
        <v>201</v>
      </c>
      <c r="B8" s="109"/>
      <c r="C8" s="117" t="str">
        <f>'Stavební rozpočet-KŘ'!G4</f>
        <v> </v>
      </c>
      <c r="D8" s="109"/>
      <c r="E8" s="117" t="s">
        <v>202</v>
      </c>
      <c r="F8" s="117" t="str">
        <f>'Stavební rozpočet-KŘ'!G6</f>
        <v> </v>
      </c>
      <c r="G8" s="109"/>
      <c r="H8" s="119" t="s">
        <v>310</v>
      </c>
      <c r="I8" s="118" t="s">
        <v>61</v>
      </c>
      <c r="J8" s="1"/>
    </row>
    <row r="9" spans="1:10" ht="12.75">
      <c r="A9" s="108"/>
      <c r="B9" s="109"/>
      <c r="C9" s="109"/>
      <c r="D9" s="109"/>
      <c r="E9" s="109"/>
      <c r="F9" s="109"/>
      <c r="G9" s="109"/>
      <c r="H9" s="109"/>
      <c r="I9" s="115"/>
      <c r="J9" s="1"/>
    </row>
    <row r="10" spans="1:10" ht="12.75">
      <c r="A10" s="116" t="s">
        <v>4</v>
      </c>
      <c r="B10" s="109"/>
      <c r="C10" s="117">
        <f>'Stavební rozpočet-KŘ'!D8</f>
        <v>0</v>
      </c>
      <c r="D10" s="109"/>
      <c r="E10" s="117" t="s">
        <v>221</v>
      </c>
      <c r="F10" s="117" t="str">
        <f>'Stavební rozpočet-KŘ'!J8</f>
        <v> </v>
      </c>
      <c r="G10" s="109"/>
      <c r="H10" s="119" t="s">
        <v>311</v>
      </c>
      <c r="I10" s="122" t="str">
        <f>'Stavební rozpočet-KŘ'!G8</f>
        <v> </v>
      </c>
      <c r="J10" s="1"/>
    </row>
    <row r="11" spans="1:10" ht="12.75">
      <c r="A11" s="120"/>
      <c r="B11" s="121"/>
      <c r="C11" s="121"/>
      <c r="D11" s="121"/>
      <c r="E11" s="121"/>
      <c r="F11" s="121"/>
      <c r="G11" s="121"/>
      <c r="H11" s="121"/>
      <c r="I11" s="123"/>
      <c r="J11" s="1"/>
    </row>
    <row r="12" spans="1:9" ht="23.25" customHeight="1">
      <c r="A12" s="124" t="s">
        <v>269</v>
      </c>
      <c r="B12" s="125"/>
      <c r="C12" s="125"/>
      <c r="D12" s="125"/>
      <c r="E12" s="125"/>
      <c r="F12" s="125"/>
      <c r="G12" s="125"/>
      <c r="H12" s="125"/>
      <c r="I12" s="125"/>
    </row>
    <row r="13" spans="1:10" ht="26.25" customHeight="1">
      <c r="A13" s="52" t="s">
        <v>270</v>
      </c>
      <c r="B13" s="126" t="s">
        <v>282</v>
      </c>
      <c r="C13" s="127"/>
      <c r="D13" s="52" t="s">
        <v>285</v>
      </c>
      <c r="E13" s="126" t="s">
        <v>294</v>
      </c>
      <c r="F13" s="127"/>
      <c r="G13" s="52" t="s">
        <v>295</v>
      </c>
      <c r="H13" s="126" t="s">
        <v>312</v>
      </c>
      <c r="I13" s="127"/>
      <c r="J13" s="1"/>
    </row>
    <row r="14" spans="1:10" ht="15" customHeight="1">
      <c r="A14" s="53" t="s">
        <v>271</v>
      </c>
      <c r="B14" s="57" t="s">
        <v>283</v>
      </c>
      <c r="C14" s="59">
        <f>SUM('Stavební rozpočet-KŘ'!R12:R82)</f>
        <v>69434.33409447625</v>
      </c>
      <c r="D14" s="128" t="s">
        <v>286</v>
      </c>
      <c r="E14" s="129"/>
      <c r="F14" s="59">
        <v>0</v>
      </c>
      <c r="G14" s="128" t="s">
        <v>296</v>
      </c>
      <c r="H14" s="129"/>
      <c r="I14" s="59">
        <v>0</v>
      </c>
      <c r="J14" s="1"/>
    </row>
    <row r="15" spans="1:10" ht="15" customHeight="1">
      <c r="A15" s="54"/>
      <c r="B15" s="57" t="s">
        <v>222</v>
      </c>
      <c r="C15" s="59">
        <f>SUM('Stavební rozpočet-KŘ'!S12:S82)</f>
        <v>70670.13590552374</v>
      </c>
      <c r="D15" s="128" t="s">
        <v>287</v>
      </c>
      <c r="E15" s="129"/>
      <c r="F15" s="59">
        <v>0</v>
      </c>
      <c r="G15" s="128" t="s">
        <v>297</v>
      </c>
      <c r="H15" s="129"/>
      <c r="I15" s="59">
        <v>0</v>
      </c>
      <c r="J15" s="1"/>
    </row>
    <row r="16" spans="1:10" ht="15" customHeight="1">
      <c r="A16" s="53" t="s">
        <v>272</v>
      </c>
      <c r="B16" s="57" t="s">
        <v>283</v>
      </c>
      <c r="C16" s="59">
        <f>SUM('Stavební rozpočet-KŘ'!T12:T82)</f>
        <v>619.8873357074651</v>
      </c>
      <c r="D16" s="128" t="s">
        <v>288</v>
      </c>
      <c r="E16" s="129"/>
      <c r="F16" s="59">
        <v>0</v>
      </c>
      <c r="G16" s="128" t="s">
        <v>298</v>
      </c>
      <c r="H16" s="129"/>
      <c r="I16" s="59">
        <v>0</v>
      </c>
      <c r="J16" s="1"/>
    </row>
    <row r="17" spans="1:10" ht="15" customHeight="1">
      <c r="A17" s="54"/>
      <c r="B17" s="57" t="s">
        <v>222</v>
      </c>
      <c r="C17" s="59">
        <f>SUM('Stavební rozpočet-KŘ'!U12:U82)</f>
        <v>607.4926642925348</v>
      </c>
      <c r="D17" s="128"/>
      <c r="E17" s="129"/>
      <c r="F17" s="60"/>
      <c r="G17" s="128" t="s">
        <v>299</v>
      </c>
      <c r="H17" s="129"/>
      <c r="I17" s="59">
        <v>0</v>
      </c>
      <c r="J17" s="1"/>
    </row>
    <row r="18" spans="1:10" ht="15" customHeight="1">
      <c r="A18" s="53" t="s">
        <v>273</v>
      </c>
      <c r="B18" s="57" t="s">
        <v>283</v>
      </c>
      <c r="C18" s="59">
        <f>SUM('Stavební rozpočet-KŘ'!V12:V82)</f>
        <v>0</v>
      </c>
      <c r="D18" s="128"/>
      <c r="E18" s="129"/>
      <c r="F18" s="60"/>
      <c r="G18" s="128" t="s">
        <v>300</v>
      </c>
      <c r="H18" s="129"/>
      <c r="I18" s="59">
        <v>0</v>
      </c>
      <c r="J18" s="1"/>
    </row>
    <row r="19" spans="1:10" ht="15" customHeight="1">
      <c r="A19" s="54"/>
      <c r="B19" s="57" t="s">
        <v>222</v>
      </c>
      <c r="C19" s="59">
        <f>SUM('Stavební rozpočet-KŘ'!W12:W82)</f>
        <v>0</v>
      </c>
      <c r="D19" s="128"/>
      <c r="E19" s="129"/>
      <c r="F19" s="60"/>
      <c r="G19" s="128" t="s">
        <v>301</v>
      </c>
      <c r="H19" s="129"/>
      <c r="I19" s="59">
        <v>0</v>
      </c>
      <c r="J19" s="1"/>
    </row>
    <row r="20" spans="1:10" ht="15" customHeight="1">
      <c r="A20" s="130" t="s">
        <v>274</v>
      </c>
      <c r="B20" s="131"/>
      <c r="C20" s="59">
        <f>SUM('Stavební rozpočet-KŘ'!X12:X82)</f>
        <v>0</v>
      </c>
      <c r="D20" s="128"/>
      <c r="E20" s="129"/>
      <c r="F20" s="60"/>
      <c r="G20" s="128"/>
      <c r="H20" s="129"/>
      <c r="I20" s="60"/>
      <c r="J20" s="1"/>
    </row>
    <row r="21" spans="1:10" ht="15" customHeight="1">
      <c r="A21" s="130" t="s">
        <v>275</v>
      </c>
      <c r="B21" s="131"/>
      <c r="C21" s="59">
        <f>SUM('Stavební rozpočet-KŘ'!P12:P82)</f>
        <v>70487.18</v>
      </c>
      <c r="D21" s="128"/>
      <c r="E21" s="129"/>
      <c r="F21" s="60"/>
      <c r="G21" s="128"/>
      <c r="H21" s="129"/>
      <c r="I21" s="60"/>
      <c r="J21" s="1"/>
    </row>
    <row r="22" spans="1:10" ht="16.5" customHeight="1">
      <c r="A22" s="130" t="s">
        <v>276</v>
      </c>
      <c r="B22" s="131"/>
      <c r="C22" s="59">
        <f>ROUND(SUM(C14:C21),0)</f>
        <v>211819</v>
      </c>
      <c r="D22" s="130" t="s">
        <v>289</v>
      </c>
      <c r="E22" s="131"/>
      <c r="F22" s="59">
        <f>SUM(F14:F21)</f>
        <v>0</v>
      </c>
      <c r="G22" s="130" t="s">
        <v>302</v>
      </c>
      <c r="H22" s="131"/>
      <c r="I22" s="59">
        <f>SUM(I14:I21)</f>
        <v>0</v>
      </c>
      <c r="J22" s="1"/>
    </row>
    <row r="23" spans="1:10" ht="15" customHeight="1">
      <c r="A23" s="9"/>
      <c r="B23" s="9"/>
      <c r="C23" s="28"/>
      <c r="D23" s="130" t="s">
        <v>290</v>
      </c>
      <c r="E23" s="131"/>
      <c r="F23" s="61">
        <v>0</v>
      </c>
      <c r="G23" s="130" t="s">
        <v>303</v>
      </c>
      <c r="H23" s="131"/>
      <c r="I23" s="59">
        <v>0</v>
      </c>
      <c r="J23" s="1"/>
    </row>
    <row r="24" spans="4:10" ht="15" customHeight="1">
      <c r="D24" s="9"/>
      <c r="E24" s="9"/>
      <c r="F24" s="62"/>
      <c r="G24" s="130" t="s">
        <v>304</v>
      </c>
      <c r="H24" s="131"/>
      <c r="I24" s="59">
        <v>0</v>
      </c>
      <c r="J24" s="1"/>
    </row>
    <row r="25" spans="6:10" ht="15" customHeight="1">
      <c r="F25" s="29"/>
      <c r="G25" s="130" t="s">
        <v>305</v>
      </c>
      <c r="H25" s="131"/>
      <c r="I25" s="59">
        <v>0</v>
      </c>
      <c r="J25" s="1"/>
    </row>
    <row r="26" spans="1:9" ht="12.75">
      <c r="A26" s="50"/>
      <c r="B26" s="50"/>
      <c r="C26" s="50"/>
      <c r="G26" s="9"/>
      <c r="H26" s="9"/>
      <c r="I26" s="9"/>
    </row>
    <row r="27" spans="1:9" ht="15" customHeight="1">
      <c r="A27" s="134" t="s">
        <v>277</v>
      </c>
      <c r="B27" s="135"/>
      <c r="C27" s="63">
        <f>ROUND(SUM('Stavební rozpočet-KŘ'!Z12:Z82),0)</f>
        <v>0</v>
      </c>
      <c r="D27" s="51"/>
      <c r="E27" s="50"/>
      <c r="F27" s="50"/>
      <c r="G27" s="50"/>
      <c r="H27" s="50"/>
      <c r="I27" s="50"/>
    </row>
    <row r="28" spans="1:10" ht="15" customHeight="1">
      <c r="A28" s="134" t="s">
        <v>278</v>
      </c>
      <c r="B28" s="135"/>
      <c r="C28" s="63">
        <f>ROUND(SUM('Stavební rozpočet-KŘ'!AA12:AA82),0)</f>
        <v>0</v>
      </c>
      <c r="D28" s="134" t="s">
        <v>291</v>
      </c>
      <c r="E28" s="135"/>
      <c r="F28" s="63">
        <f>ROUND(C28*(15/100),2)</f>
        <v>0</v>
      </c>
      <c r="G28" s="134" t="s">
        <v>306</v>
      </c>
      <c r="H28" s="135"/>
      <c r="I28" s="63">
        <f>ROUND(SUM(C27:C29),0)</f>
        <v>211819</v>
      </c>
      <c r="J28" s="1"/>
    </row>
    <row r="29" spans="1:10" ht="15" customHeight="1">
      <c r="A29" s="134" t="s">
        <v>279</v>
      </c>
      <c r="B29" s="135"/>
      <c r="C29" s="63">
        <f>ROUND(SUM('Stavební rozpočet-KŘ'!AB12:AB82)+(F22+I22+F23+I23+I24+I25),0)</f>
        <v>211819</v>
      </c>
      <c r="D29" s="134" t="s">
        <v>292</v>
      </c>
      <c r="E29" s="135"/>
      <c r="F29" s="63">
        <f>ROUND(C29*(21/100),2)</f>
        <v>44481.99</v>
      </c>
      <c r="G29" s="134" t="s">
        <v>307</v>
      </c>
      <c r="H29" s="135"/>
      <c r="I29" s="63">
        <f>ROUND(SUM(F28:F29)+I28,0)</f>
        <v>256301</v>
      </c>
      <c r="J29" s="1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10" ht="14.25" customHeight="1">
      <c r="A31" s="136" t="s">
        <v>280</v>
      </c>
      <c r="B31" s="137"/>
      <c r="C31" s="138"/>
      <c r="D31" s="136" t="s">
        <v>293</v>
      </c>
      <c r="E31" s="137"/>
      <c r="F31" s="138"/>
      <c r="G31" s="136" t="s">
        <v>308</v>
      </c>
      <c r="H31" s="137"/>
      <c r="I31" s="138"/>
      <c r="J31" s="35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35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5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5"/>
    </row>
    <row r="35" spans="1:10" ht="14.25" customHeight="1">
      <c r="A35" s="142" t="s">
        <v>281</v>
      </c>
      <c r="B35" s="143"/>
      <c r="C35" s="144"/>
      <c r="D35" s="142" t="s">
        <v>281</v>
      </c>
      <c r="E35" s="143"/>
      <c r="F35" s="144"/>
      <c r="G35" s="142" t="s">
        <v>281</v>
      </c>
      <c r="H35" s="143"/>
      <c r="I35" s="144"/>
      <c r="J35" s="35"/>
    </row>
    <row r="36" spans="1:9" ht="11.25" customHeight="1">
      <c r="A36" s="56" t="s">
        <v>62</v>
      </c>
      <c r="B36" s="58"/>
      <c r="C36" s="58"/>
      <c r="D36" s="58"/>
      <c r="E36" s="58"/>
      <c r="F36" s="58"/>
      <c r="G36" s="58"/>
      <c r="H36" s="58"/>
      <c r="I36" s="58"/>
    </row>
  </sheetData>
  <sheetProtection password="CB35" sheet="1"/>
  <mergeCells count="82"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45" t="s">
        <v>263</v>
      </c>
      <c r="B1" s="146"/>
      <c r="C1" s="146"/>
      <c r="D1" s="146"/>
      <c r="E1" s="146"/>
      <c r="F1" s="146"/>
      <c r="G1" s="146"/>
    </row>
    <row r="2" spans="1:8" ht="12.75">
      <c r="A2" s="106" t="s">
        <v>1</v>
      </c>
      <c r="B2" s="110" t="str">
        <f>'Stavební rozpočet-KŘ'!D2</f>
        <v>Stavební úpravy chodníků v ul. Žitomířská, město Český Brod</v>
      </c>
      <c r="C2" s="111"/>
      <c r="D2" s="113" t="s">
        <v>218</v>
      </c>
      <c r="E2" s="113" t="str">
        <f>'Stavební rozpočet-KŘ'!J2</f>
        <v>Město Český Brod</v>
      </c>
      <c r="F2" s="107"/>
      <c r="G2" s="147"/>
      <c r="H2" s="1"/>
    </row>
    <row r="3" spans="1:8" ht="12.75">
      <c r="A3" s="108"/>
      <c r="B3" s="112"/>
      <c r="C3" s="112"/>
      <c r="D3" s="109"/>
      <c r="E3" s="109"/>
      <c r="F3" s="109"/>
      <c r="G3" s="115"/>
      <c r="H3" s="1"/>
    </row>
    <row r="4" spans="1:8" ht="12.75">
      <c r="A4" s="116" t="s">
        <v>2</v>
      </c>
      <c r="B4" s="117" t="str">
        <f>'Stavební rozpočet-KŘ'!D4</f>
        <v> </v>
      </c>
      <c r="C4" s="109"/>
      <c r="D4" s="117" t="s">
        <v>219</v>
      </c>
      <c r="E4" s="117" t="str">
        <f>'Stavební rozpočet-KŘ'!J4</f>
        <v>Aleš Jambor</v>
      </c>
      <c r="F4" s="109"/>
      <c r="G4" s="115"/>
      <c r="H4" s="1"/>
    </row>
    <row r="5" spans="1:8" ht="12.75">
      <c r="A5" s="108"/>
      <c r="B5" s="109"/>
      <c r="C5" s="109"/>
      <c r="D5" s="109"/>
      <c r="E5" s="109"/>
      <c r="F5" s="109"/>
      <c r="G5" s="115"/>
      <c r="H5" s="1"/>
    </row>
    <row r="6" spans="1:8" ht="12.75">
      <c r="A6" s="116" t="s">
        <v>3</v>
      </c>
      <c r="B6" s="117" t="str">
        <f>'Stavební rozpočet-KŘ'!D6</f>
        <v>křižovatka ul. Žitomířská a ul. B. Smetany</v>
      </c>
      <c r="C6" s="109"/>
      <c r="D6" s="117" t="s">
        <v>220</v>
      </c>
      <c r="E6" s="117" t="str">
        <f>'Stavební rozpočet-KŘ'!J6</f>
        <v> </v>
      </c>
      <c r="F6" s="109"/>
      <c r="G6" s="115"/>
      <c r="H6" s="1"/>
    </row>
    <row r="7" spans="1:8" ht="12.75">
      <c r="A7" s="108"/>
      <c r="B7" s="109"/>
      <c r="C7" s="109"/>
      <c r="D7" s="109"/>
      <c r="E7" s="109"/>
      <c r="F7" s="109"/>
      <c r="G7" s="115"/>
      <c r="H7" s="1"/>
    </row>
    <row r="8" spans="1:8" ht="12.75">
      <c r="A8" s="116" t="s">
        <v>221</v>
      </c>
      <c r="B8" s="117" t="str">
        <f>'Stavební rozpočet-KŘ'!J8</f>
        <v> </v>
      </c>
      <c r="C8" s="109"/>
      <c r="D8" s="119" t="s">
        <v>203</v>
      </c>
      <c r="E8" s="117" t="str">
        <f>'Stavební rozpočet-KŘ'!G8</f>
        <v> </v>
      </c>
      <c r="F8" s="109"/>
      <c r="G8" s="115"/>
      <c r="H8" s="1"/>
    </row>
    <row r="9" spans="1:8" ht="12.75">
      <c r="A9" s="148"/>
      <c r="B9" s="149"/>
      <c r="C9" s="149"/>
      <c r="D9" s="149"/>
      <c r="E9" s="149"/>
      <c r="F9" s="149"/>
      <c r="G9" s="150"/>
      <c r="H9" s="1"/>
    </row>
    <row r="10" spans="1:8" ht="12.75">
      <c r="A10" s="41" t="s">
        <v>63</v>
      </c>
      <c r="B10" s="43" t="s">
        <v>64</v>
      </c>
      <c r="C10" s="44" t="s">
        <v>129</v>
      </c>
      <c r="D10" s="45" t="s">
        <v>264</v>
      </c>
      <c r="E10" s="45" t="s">
        <v>265</v>
      </c>
      <c r="F10" s="45" t="s">
        <v>266</v>
      </c>
      <c r="G10" s="47" t="s">
        <v>267</v>
      </c>
      <c r="H10" s="35"/>
    </row>
    <row r="11" spans="1:9" ht="12.75">
      <c r="A11" s="42"/>
      <c r="B11" s="42" t="s">
        <v>65</v>
      </c>
      <c r="C11" s="42" t="s">
        <v>131</v>
      </c>
      <c r="D11" s="48">
        <f>'Stavební rozpočet-KŘ'!H12</f>
        <v>0</v>
      </c>
      <c r="E11" s="48">
        <f>'Stavební rozpočet-KŘ'!I12</f>
        <v>14630</v>
      </c>
      <c r="F11" s="48">
        <f aca="true" t="shared" si="0" ref="F11:F26">D11+E11</f>
        <v>14630</v>
      </c>
      <c r="G11" s="48">
        <f>'Stavební rozpočet-KŘ'!L12</f>
        <v>0</v>
      </c>
      <c r="H11" s="36" t="s">
        <v>268</v>
      </c>
      <c r="I11" s="36">
        <f aca="true" t="shared" si="1" ref="I11:I26">IF(H11="F",0,F11)</f>
        <v>14630</v>
      </c>
    </row>
    <row r="12" spans="1:9" ht="12.75">
      <c r="A12" s="16"/>
      <c r="B12" s="16" t="s">
        <v>17</v>
      </c>
      <c r="C12" s="16" t="s">
        <v>134</v>
      </c>
      <c r="D12" s="36">
        <f>'Stavební rozpočet-KŘ'!H15</f>
        <v>16.552910992432587</v>
      </c>
      <c r="E12" s="36">
        <f>'Stavební rozpočet-KŘ'!I15</f>
        <v>11489.257089007568</v>
      </c>
      <c r="F12" s="36">
        <f t="shared" si="0"/>
        <v>11505.81</v>
      </c>
      <c r="G12" s="36">
        <f>'Stavební rozpočet-KŘ'!L15</f>
        <v>32.508</v>
      </c>
      <c r="H12" s="36" t="s">
        <v>268</v>
      </c>
      <c r="I12" s="36">
        <f t="shared" si="1"/>
        <v>11505.81</v>
      </c>
    </row>
    <row r="13" spans="1:9" ht="12.75">
      <c r="A13" s="16"/>
      <c r="B13" s="16" t="s">
        <v>73</v>
      </c>
      <c r="C13" s="16" t="s">
        <v>140</v>
      </c>
      <c r="D13" s="36">
        <f>'Stavební rozpočet-KŘ'!H21</f>
        <v>0</v>
      </c>
      <c r="E13" s="36">
        <f>'Stavební rozpočet-KŘ'!I21</f>
        <v>8778</v>
      </c>
      <c r="F13" s="36">
        <f t="shared" si="0"/>
        <v>8778</v>
      </c>
      <c r="G13" s="36">
        <f>'Stavební rozpočet-KŘ'!L21</f>
        <v>0</v>
      </c>
      <c r="H13" s="36" t="s">
        <v>268</v>
      </c>
      <c r="I13" s="36">
        <f t="shared" si="1"/>
        <v>8778</v>
      </c>
    </row>
    <row r="14" spans="1:9" ht="12.75">
      <c r="A14" s="16"/>
      <c r="B14" s="16" t="s">
        <v>18</v>
      </c>
      <c r="C14" s="16" t="s">
        <v>142</v>
      </c>
      <c r="D14" s="36">
        <f>'Stavební rozpočet-KŘ'!H23</f>
        <v>0</v>
      </c>
      <c r="E14" s="36">
        <f>'Stavební rozpočet-KŘ'!I23</f>
        <v>132.44</v>
      </c>
      <c r="F14" s="36">
        <f t="shared" si="0"/>
        <v>132.44</v>
      </c>
      <c r="G14" s="36">
        <f>'Stavební rozpočet-KŘ'!L23</f>
        <v>0</v>
      </c>
      <c r="H14" s="36" t="s">
        <v>268</v>
      </c>
      <c r="I14" s="36">
        <f t="shared" si="1"/>
        <v>132.44</v>
      </c>
    </row>
    <row r="15" spans="1:9" ht="12.75">
      <c r="A15" s="16"/>
      <c r="B15" s="16" t="s">
        <v>19</v>
      </c>
      <c r="C15" s="16" t="s">
        <v>144</v>
      </c>
      <c r="D15" s="36">
        <f>'Stavební rozpočet-KŘ'!H25</f>
        <v>0</v>
      </c>
      <c r="E15" s="36">
        <f>'Stavební rozpočet-KŘ'!I25</f>
        <v>10.74</v>
      </c>
      <c r="F15" s="36">
        <f t="shared" si="0"/>
        <v>10.74</v>
      </c>
      <c r="G15" s="36">
        <f>'Stavební rozpočet-KŘ'!L25</f>
        <v>0</v>
      </c>
      <c r="H15" s="36" t="s">
        <v>268</v>
      </c>
      <c r="I15" s="36">
        <f t="shared" si="1"/>
        <v>10.74</v>
      </c>
    </row>
    <row r="16" spans="1:9" ht="12.75">
      <c r="A16" s="16"/>
      <c r="B16" s="16" t="s">
        <v>22</v>
      </c>
      <c r="C16" s="16" t="s">
        <v>146</v>
      </c>
      <c r="D16" s="36">
        <f>'Stavební rozpočet-KŘ'!H27</f>
        <v>0</v>
      </c>
      <c r="E16" s="36">
        <f>'Stavební rozpočet-KŘ'!I27</f>
        <v>763.6</v>
      </c>
      <c r="F16" s="36">
        <f t="shared" si="0"/>
        <v>763.6</v>
      </c>
      <c r="G16" s="36">
        <f>'Stavební rozpočet-KŘ'!L27</f>
        <v>0</v>
      </c>
      <c r="H16" s="36" t="s">
        <v>268</v>
      </c>
      <c r="I16" s="36">
        <f t="shared" si="1"/>
        <v>763.6</v>
      </c>
    </row>
    <row r="17" spans="1:9" ht="12.75">
      <c r="A17" s="16"/>
      <c r="B17" s="16" t="s">
        <v>24</v>
      </c>
      <c r="C17" s="16" t="s">
        <v>150</v>
      </c>
      <c r="D17" s="36">
        <f>'Stavební rozpočet-KŘ'!H31</f>
        <v>0</v>
      </c>
      <c r="E17" s="36">
        <f>'Stavební rozpočet-KŘ'!I31</f>
        <v>821.1</v>
      </c>
      <c r="F17" s="36">
        <f t="shared" si="0"/>
        <v>821.1</v>
      </c>
      <c r="G17" s="36">
        <f>'Stavební rozpočet-KŘ'!L31</f>
        <v>0</v>
      </c>
      <c r="H17" s="36" t="s">
        <v>268</v>
      </c>
      <c r="I17" s="36">
        <f t="shared" si="1"/>
        <v>821.1</v>
      </c>
    </row>
    <row r="18" spans="1:9" ht="12.75">
      <c r="A18" s="16"/>
      <c r="B18" s="16" t="s">
        <v>33</v>
      </c>
      <c r="C18" s="16" t="s">
        <v>152</v>
      </c>
      <c r="D18" s="36">
        <f>'Stavební rozpočet-KŘ'!H33</f>
        <v>1903.1451603582093</v>
      </c>
      <c r="E18" s="36">
        <f>'Stavební rozpočet-KŘ'!I33</f>
        <v>169.7348396417908</v>
      </c>
      <c r="F18" s="36">
        <f t="shared" si="0"/>
        <v>2072.88</v>
      </c>
      <c r="G18" s="36">
        <f>'Stavební rozpočet-KŘ'!L33</f>
        <v>0.155136</v>
      </c>
      <c r="H18" s="36" t="s">
        <v>268</v>
      </c>
      <c r="I18" s="36">
        <f t="shared" si="1"/>
        <v>2072.88</v>
      </c>
    </row>
    <row r="19" spans="1:9" ht="12.75">
      <c r="A19" s="16"/>
      <c r="B19" s="16" t="s">
        <v>82</v>
      </c>
      <c r="C19" s="16" t="s">
        <v>154</v>
      </c>
      <c r="D19" s="36">
        <f>'Stavební rozpočet-KŘ'!H35</f>
        <v>21677.275895001316</v>
      </c>
      <c r="E19" s="36">
        <f>'Stavební rozpočet-KŘ'!I35</f>
        <v>3451.8641049986827</v>
      </c>
      <c r="F19" s="36">
        <f t="shared" si="0"/>
        <v>25129.14</v>
      </c>
      <c r="G19" s="36">
        <f>'Stavební rozpočet-KŘ'!L35</f>
        <v>17.2852862</v>
      </c>
      <c r="H19" s="36" t="s">
        <v>268</v>
      </c>
      <c r="I19" s="36">
        <f t="shared" si="1"/>
        <v>25129.14</v>
      </c>
    </row>
    <row r="20" spans="1:9" ht="12.75">
      <c r="A20" s="16"/>
      <c r="B20" s="16" t="s">
        <v>85</v>
      </c>
      <c r="C20" s="16" t="s">
        <v>157</v>
      </c>
      <c r="D20" s="36">
        <f>'Stavební rozpočet-KŘ'!H38</f>
        <v>0</v>
      </c>
      <c r="E20" s="36">
        <f>'Stavební rozpočet-KŘ'!I38</f>
        <v>0</v>
      </c>
      <c r="F20" s="36">
        <f t="shared" si="0"/>
        <v>0</v>
      </c>
      <c r="G20" s="36">
        <f>'Stavební rozpočet-KŘ'!L38</f>
        <v>1.0538843</v>
      </c>
      <c r="H20" s="36" t="s">
        <v>268</v>
      </c>
      <c r="I20" s="36">
        <f t="shared" si="1"/>
        <v>0</v>
      </c>
    </row>
    <row r="21" spans="1:9" ht="12.75">
      <c r="A21" s="16"/>
      <c r="B21" s="16" t="s">
        <v>88</v>
      </c>
      <c r="C21" s="16" t="s">
        <v>160</v>
      </c>
      <c r="D21" s="36">
        <f>'Stavební rozpočet-KŘ'!H41</f>
        <v>16695.36397631221</v>
      </c>
      <c r="E21" s="36">
        <f>'Stavební rozpočet-KŘ'!I41</f>
        <v>16487.39602368779</v>
      </c>
      <c r="F21" s="36">
        <f t="shared" si="0"/>
        <v>33182.759999999995</v>
      </c>
      <c r="G21" s="36">
        <f>'Stavební rozpočet-KŘ'!L41</f>
        <v>7.443763</v>
      </c>
      <c r="H21" s="36" t="s">
        <v>268</v>
      </c>
      <c r="I21" s="36">
        <f t="shared" si="1"/>
        <v>33182.759999999995</v>
      </c>
    </row>
    <row r="22" spans="1:9" ht="12.75">
      <c r="A22" s="16"/>
      <c r="B22" s="16" t="s">
        <v>95</v>
      </c>
      <c r="C22" s="16" t="s">
        <v>167</v>
      </c>
      <c r="D22" s="36">
        <f>'Stavební rozpočet-KŘ'!H50</f>
        <v>619.8873357074651</v>
      </c>
      <c r="E22" s="36">
        <f>'Stavební rozpočet-KŘ'!I50</f>
        <v>607.4926642925348</v>
      </c>
      <c r="F22" s="36">
        <f t="shared" si="0"/>
        <v>1227.3799999999999</v>
      </c>
      <c r="G22" s="36">
        <f>'Stavební rozpočet-KŘ'!L50</f>
        <v>0.001594</v>
      </c>
      <c r="H22" s="36" t="s">
        <v>268</v>
      </c>
      <c r="I22" s="36">
        <f t="shared" si="1"/>
        <v>1227.3799999999999</v>
      </c>
    </row>
    <row r="23" spans="1:9" ht="12.75">
      <c r="A23" s="16"/>
      <c r="B23" s="16" t="s">
        <v>98</v>
      </c>
      <c r="C23" s="16" t="s">
        <v>170</v>
      </c>
      <c r="D23" s="36">
        <f>'Stavební rozpočet-KŘ'!H53</f>
        <v>29141.99615181209</v>
      </c>
      <c r="E23" s="36">
        <f>'Stavební rozpočet-KŘ'!I53</f>
        <v>13234.003848187911</v>
      </c>
      <c r="F23" s="36">
        <f t="shared" si="0"/>
        <v>42376</v>
      </c>
      <c r="G23" s="36">
        <f>'Stavební rozpočet-KŘ'!L53</f>
        <v>5.207409999999999</v>
      </c>
      <c r="H23" s="36" t="s">
        <v>268</v>
      </c>
      <c r="I23" s="36">
        <f t="shared" si="1"/>
        <v>42376</v>
      </c>
    </row>
    <row r="24" spans="1:9" ht="12.75">
      <c r="A24" s="16"/>
      <c r="B24" s="16" t="s">
        <v>111</v>
      </c>
      <c r="C24" s="16" t="s">
        <v>184</v>
      </c>
      <c r="D24" s="36">
        <f>'Stavební rozpočet-KŘ'!H67</f>
        <v>0</v>
      </c>
      <c r="E24" s="36">
        <f>'Stavební rozpočet-KŘ'!I67</f>
        <v>702</v>
      </c>
      <c r="F24" s="36">
        <f t="shared" si="0"/>
        <v>702</v>
      </c>
      <c r="G24" s="36">
        <f>'Stavební rozpočet-KŘ'!L67</f>
        <v>0</v>
      </c>
      <c r="H24" s="36" t="s">
        <v>268</v>
      </c>
      <c r="I24" s="36">
        <f t="shared" si="1"/>
        <v>702</v>
      </c>
    </row>
    <row r="25" spans="1:9" ht="12.75">
      <c r="A25" s="16"/>
      <c r="B25" s="16" t="s">
        <v>113</v>
      </c>
      <c r="C25" s="16" t="s">
        <v>186</v>
      </c>
      <c r="D25" s="36">
        <f>'Stavební rozpočet-KŘ'!H69</f>
        <v>0</v>
      </c>
      <c r="E25" s="36">
        <f>'Stavební rozpočet-KŘ'!I69</f>
        <v>9257.28</v>
      </c>
      <c r="F25" s="36">
        <f t="shared" si="0"/>
        <v>9257.28</v>
      </c>
      <c r="G25" s="36">
        <f>'Stavební rozpočet-KŘ'!L69</f>
        <v>0</v>
      </c>
      <c r="H25" s="36" t="s">
        <v>268</v>
      </c>
      <c r="I25" s="36">
        <f t="shared" si="1"/>
        <v>9257.28</v>
      </c>
    </row>
    <row r="26" spans="1:9" ht="12.75">
      <c r="A26" s="16"/>
      <c r="B26" s="16" t="s">
        <v>120</v>
      </c>
      <c r="C26" s="16" t="s">
        <v>193</v>
      </c>
      <c r="D26" s="36">
        <f>'Stavební rozpočet-KŘ'!H76</f>
        <v>42.70660089989944</v>
      </c>
      <c r="E26" s="36">
        <f>'Stavební rozpočet-KŘ'!I76</f>
        <v>61187.1933991001</v>
      </c>
      <c r="F26" s="36">
        <f t="shared" si="0"/>
        <v>61229.9</v>
      </c>
      <c r="G26" s="36">
        <f>'Stavební rozpočet-KŘ'!L76</f>
        <v>0</v>
      </c>
      <c r="H26" s="36" t="s">
        <v>268</v>
      </c>
      <c r="I26" s="36">
        <f t="shared" si="1"/>
        <v>61229.9</v>
      </c>
    </row>
    <row r="28" spans="5:6" ht="12.75">
      <c r="E28" s="46" t="s">
        <v>217</v>
      </c>
      <c r="F28" s="49">
        <f>ROUND(SUM(I11:I26),0)</f>
        <v>211819</v>
      </c>
    </row>
  </sheetData>
  <sheetProtection password="CB35" sheet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89.00390625" style="0" customWidth="1"/>
    <col min="5" max="5" width="6.71093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7109375" style="0" hidden="1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4" ht="12.75">
      <c r="A2" s="106" t="s">
        <v>1</v>
      </c>
      <c r="B2" s="107"/>
      <c r="C2" s="107"/>
      <c r="D2" s="110" t="s">
        <v>127</v>
      </c>
      <c r="E2" s="151" t="s">
        <v>200</v>
      </c>
      <c r="F2" s="107"/>
      <c r="G2" s="151" t="s">
        <v>6</v>
      </c>
      <c r="H2" s="107"/>
      <c r="I2" s="113" t="s">
        <v>218</v>
      </c>
      <c r="J2" s="113" t="s">
        <v>223</v>
      </c>
      <c r="K2" s="107"/>
      <c r="L2" s="107"/>
      <c r="M2" s="147"/>
      <c r="N2" s="1"/>
    </row>
    <row r="3" spans="1:14" ht="12.75">
      <c r="A3" s="108"/>
      <c r="B3" s="109"/>
      <c r="C3" s="109"/>
      <c r="D3" s="112"/>
      <c r="E3" s="109"/>
      <c r="F3" s="109"/>
      <c r="G3" s="109"/>
      <c r="H3" s="109"/>
      <c r="I3" s="109"/>
      <c r="J3" s="109"/>
      <c r="K3" s="109"/>
      <c r="L3" s="109"/>
      <c r="M3" s="115"/>
      <c r="N3" s="1"/>
    </row>
    <row r="4" spans="1:14" ht="12.75">
      <c r="A4" s="116" t="s">
        <v>2</v>
      </c>
      <c r="B4" s="109"/>
      <c r="C4" s="109"/>
      <c r="D4" s="117" t="s">
        <v>6</v>
      </c>
      <c r="E4" s="119" t="s">
        <v>201</v>
      </c>
      <c r="F4" s="109"/>
      <c r="G4" s="119" t="s">
        <v>6</v>
      </c>
      <c r="H4" s="109"/>
      <c r="I4" s="117" t="s">
        <v>219</v>
      </c>
      <c r="J4" s="117" t="s">
        <v>224</v>
      </c>
      <c r="K4" s="109"/>
      <c r="L4" s="109"/>
      <c r="M4" s="115"/>
      <c r="N4" s="1"/>
    </row>
    <row r="5" spans="1:14" ht="12.75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5"/>
      <c r="N5" s="1"/>
    </row>
    <row r="6" spans="1:14" ht="12.75">
      <c r="A6" s="116" t="s">
        <v>3</v>
      </c>
      <c r="B6" s="109"/>
      <c r="C6" s="109"/>
      <c r="D6" s="117" t="s">
        <v>128</v>
      </c>
      <c r="E6" s="119" t="s">
        <v>202</v>
      </c>
      <c r="F6" s="109"/>
      <c r="G6" s="119" t="s">
        <v>6</v>
      </c>
      <c r="H6" s="109"/>
      <c r="I6" s="117" t="s">
        <v>220</v>
      </c>
      <c r="J6" s="152" t="s">
        <v>6</v>
      </c>
      <c r="K6" s="153"/>
      <c r="L6" s="153"/>
      <c r="M6" s="154"/>
      <c r="N6" s="1"/>
    </row>
    <row r="7" spans="1:14" ht="12.75">
      <c r="A7" s="108"/>
      <c r="B7" s="109"/>
      <c r="C7" s="109"/>
      <c r="D7" s="109"/>
      <c r="E7" s="109"/>
      <c r="F7" s="109"/>
      <c r="G7" s="109"/>
      <c r="H7" s="109"/>
      <c r="I7" s="109"/>
      <c r="J7" s="153"/>
      <c r="K7" s="153"/>
      <c r="L7" s="153"/>
      <c r="M7" s="154"/>
      <c r="N7" s="1"/>
    </row>
    <row r="8" spans="1:14" ht="12.75">
      <c r="A8" s="116" t="s">
        <v>4</v>
      </c>
      <c r="B8" s="109"/>
      <c r="C8" s="109"/>
      <c r="D8" s="117"/>
      <c r="E8" s="119" t="s">
        <v>203</v>
      </c>
      <c r="F8" s="109"/>
      <c r="G8" s="159" t="s">
        <v>6</v>
      </c>
      <c r="H8" s="153"/>
      <c r="I8" s="117" t="s">
        <v>221</v>
      </c>
      <c r="J8" s="152" t="s">
        <v>6</v>
      </c>
      <c r="K8" s="153"/>
      <c r="L8" s="153"/>
      <c r="M8" s="154"/>
      <c r="N8" s="1"/>
    </row>
    <row r="9" spans="1:14" ht="12.75">
      <c r="A9" s="148"/>
      <c r="B9" s="149"/>
      <c r="C9" s="149"/>
      <c r="D9" s="149"/>
      <c r="E9" s="149"/>
      <c r="F9" s="149"/>
      <c r="G9" s="160"/>
      <c r="H9" s="160"/>
      <c r="I9" s="149"/>
      <c r="J9" s="160"/>
      <c r="K9" s="160"/>
      <c r="L9" s="160"/>
      <c r="M9" s="161"/>
      <c r="N9" s="1"/>
    </row>
    <row r="10" spans="1:14" ht="12.75">
      <c r="A10" s="2" t="s">
        <v>5</v>
      </c>
      <c r="B10" s="11" t="s">
        <v>63</v>
      </c>
      <c r="C10" s="11" t="s">
        <v>64</v>
      </c>
      <c r="D10" s="11" t="s">
        <v>129</v>
      </c>
      <c r="E10" s="11" t="s">
        <v>204</v>
      </c>
      <c r="F10" s="17" t="s">
        <v>212</v>
      </c>
      <c r="G10" s="21" t="s">
        <v>213</v>
      </c>
      <c r="H10" s="155" t="s">
        <v>215</v>
      </c>
      <c r="I10" s="156"/>
      <c r="J10" s="157"/>
      <c r="K10" s="155" t="s">
        <v>226</v>
      </c>
      <c r="L10" s="157"/>
      <c r="M10" s="30" t="s">
        <v>227</v>
      </c>
      <c r="N10" s="35"/>
    </row>
    <row r="11" spans="1:24" ht="12.75">
      <c r="A11" s="3" t="s">
        <v>6</v>
      </c>
      <c r="B11" s="12" t="s">
        <v>6</v>
      </c>
      <c r="C11" s="12" t="s">
        <v>6</v>
      </c>
      <c r="D11" s="15" t="s">
        <v>130</v>
      </c>
      <c r="E11" s="12" t="s">
        <v>6</v>
      </c>
      <c r="F11" s="12" t="s">
        <v>6</v>
      </c>
      <c r="G11" s="22" t="s">
        <v>214</v>
      </c>
      <c r="H11" s="23" t="s">
        <v>216</v>
      </c>
      <c r="I11" s="24" t="s">
        <v>222</v>
      </c>
      <c r="J11" s="25" t="s">
        <v>225</v>
      </c>
      <c r="K11" s="23" t="s">
        <v>213</v>
      </c>
      <c r="L11" s="25" t="s">
        <v>225</v>
      </c>
      <c r="M11" s="31" t="s">
        <v>228</v>
      </c>
      <c r="N11" s="35"/>
      <c r="P11" s="27" t="s">
        <v>232</v>
      </c>
      <c r="Q11" s="27" t="s">
        <v>233</v>
      </c>
      <c r="R11" s="27" t="s">
        <v>234</v>
      </c>
      <c r="S11" s="27" t="s">
        <v>235</v>
      </c>
      <c r="T11" s="27" t="s">
        <v>236</v>
      </c>
      <c r="U11" s="27" t="s">
        <v>237</v>
      </c>
      <c r="V11" s="27" t="s">
        <v>238</v>
      </c>
      <c r="W11" s="27" t="s">
        <v>239</v>
      </c>
      <c r="X11" s="27" t="s">
        <v>240</v>
      </c>
    </row>
    <row r="12" spans="1:37" ht="12.75">
      <c r="A12" s="4"/>
      <c r="B12" s="13"/>
      <c r="C12" s="13" t="s">
        <v>65</v>
      </c>
      <c r="D12" s="13" t="s">
        <v>131</v>
      </c>
      <c r="E12" s="4" t="s">
        <v>6</v>
      </c>
      <c r="F12" s="4" t="s">
        <v>6</v>
      </c>
      <c r="G12" s="4" t="s">
        <v>6</v>
      </c>
      <c r="H12" s="38">
        <f>SUM(H13:H14)</f>
        <v>0</v>
      </c>
      <c r="I12" s="38">
        <f>SUM(I13:I14)</f>
        <v>14630</v>
      </c>
      <c r="J12" s="38">
        <f>H12+I12</f>
        <v>14630</v>
      </c>
      <c r="K12" s="26"/>
      <c r="L12" s="38">
        <f>SUM(L13:L14)</f>
        <v>0</v>
      </c>
      <c r="M12" s="26"/>
      <c r="Y12" s="27"/>
      <c r="AI12" s="39">
        <f>SUM(Z13:Z14)</f>
        <v>0</v>
      </c>
      <c r="AJ12" s="39">
        <f>SUM(AA13:AA14)</f>
        <v>0</v>
      </c>
      <c r="AK12" s="39">
        <f>SUM(AB13:AB14)</f>
        <v>14630</v>
      </c>
    </row>
    <row r="13" spans="1:48" ht="12.75">
      <c r="A13" s="5" t="s">
        <v>7</v>
      </c>
      <c r="B13" s="5"/>
      <c r="C13" s="5" t="s">
        <v>66</v>
      </c>
      <c r="D13" s="5" t="s">
        <v>132</v>
      </c>
      <c r="E13" s="5" t="s">
        <v>205</v>
      </c>
      <c r="F13" s="18">
        <v>1</v>
      </c>
      <c r="G13" s="101">
        <v>7315</v>
      </c>
      <c r="H13" s="18">
        <f>F13*AE13</f>
        <v>0</v>
      </c>
      <c r="I13" s="18">
        <f>J13-H13</f>
        <v>7315</v>
      </c>
      <c r="J13" s="18">
        <f>F13*G13</f>
        <v>7315</v>
      </c>
      <c r="K13" s="18">
        <v>0</v>
      </c>
      <c r="L13" s="18">
        <f>F13*K13</f>
        <v>0</v>
      </c>
      <c r="M13" s="32"/>
      <c r="P13" s="36">
        <f>IF(AG13="5",J13,0)</f>
        <v>0</v>
      </c>
      <c r="R13" s="36">
        <f>IF(AG13="1",H13,0)</f>
        <v>0</v>
      </c>
      <c r="S13" s="36">
        <f>IF(AG13="1",I13,0)</f>
        <v>7315</v>
      </c>
      <c r="T13" s="36">
        <f>IF(AG13="7",H13,0)</f>
        <v>0</v>
      </c>
      <c r="U13" s="36">
        <f>IF(AG13="7",I13,0)</f>
        <v>0</v>
      </c>
      <c r="V13" s="36">
        <f>IF(AG13="2",H13,0)</f>
        <v>0</v>
      </c>
      <c r="W13" s="36">
        <f>IF(AG13="2",I13,0)</f>
        <v>0</v>
      </c>
      <c r="X13" s="36">
        <f>IF(AG13="0",J13,0)</f>
        <v>0</v>
      </c>
      <c r="Y13" s="27"/>
      <c r="Z13" s="18">
        <f>IF(AD13=0,J13,0)</f>
        <v>0</v>
      </c>
      <c r="AA13" s="18">
        <f>IF(AD13=15,J13,0)</f>
        <v>0</v>
      </c>
      <c r="AB13" s="18">
        <f>IF(AD13=21,J13,0)</f>
        <v>7315</v>
      </c>
      <c r="AD13" s="36">
        <v>21</v>
      </c>
      <c r="AE13" s="36">
        <f>G13*0</f>
        <v>0</v>
      </c>
      <c r="AF13" s="36">
        <f>G13*(1-0)</f>
        <v>7315</v>
      </c>
      <c r="AG13" s="32" t="s">
        <v>7</v>
      </c>
      <c r="AM13" s="36">
        <f>F13*AE13</f>
        <v>0</v>
      </c>
      <c r="AN13" s="36">
        <f>F13*AF13</f>
        <v>7315</v>
      </c>
      <c r="AO13" s="37" t="s">
        <v>241</v>
      </c>
      <c r="AP13" s="37" t="s">
        <v>241</v>
      </c>
      <c r="AQ13" s="27" t="s">
        <v>262</v>
      </c>
      <c r="AS13" s="36">
        <f>AM13+AN13</f>
        <v>7315</v>
      </c>
      <c r="AT13" s="36">
        <f>G13/(100-AU13)*100</f>
        <v>7315.000000000001</v>
      </c>
      <c r="AU13" s="36">
        <v>0</v>
      </c>
      <c r="AV13" s="36">
        <f>L13</f>
        <v>0</v>
      </c>
    </row>
    <row r="14" spans="1:48" ht="12.75">
      <c r="A14" s="5" t="s">
        <v>8</v>
      </c>
      <c r="B14" s="5"/>
      <c r="C14" s="5" t="s">
        <v>67</v>
      </c>
      <c r="D14" s="5" t="s">
        <v>133</v>
      </c>
      <c r="E14" s="5" t="s">
        <v>205</v>
      </c>
      <c r="F14" s="18">
        <v>1</v>
      </c>
      <c r="G14" s="101">
        <v>7315</v>
      </c>
      <c r="H14" s="18">
        <f>F14*AE14</f>
        <v>0</v>
      </c>
      <c r="I14" s="18">
        <f>J14-H14</f>
        <v>7315</v>
      </c>
      <c r="J14" s="18">
        <f>F14*G14</f>
        <v>7315</v>
      </c>
      <c r="K14" s="18">
        <v>0</v>
      </c>
      <c r="L14" s="18">
        <f>F14*K14</f>
        <v>0</v>
      </c>
      <c r="M14" s="32"/>
      <c r="P14" s="36">
        <f>IF(AG14="5",J14,0)</f>
        <v>0</v>
      </c>
      <c r="R14" s="36">
        <f>IF(AG14="1",H14,0)</f>
        <v>0</v>
      </c>
      <c r="S14" s="36">
        <f>IF(AG14="1",I14,0)</f>
        <v>7315</v>
      </c>
      <c r="T14" s="36">
        <f>IF(AG14="7",H14,0)</f>
        <v>0</v>
      </c>
      <c r="U14" s="36">
        <f>IF(AG14="7",I14,0)</f>
        <v>0</v>
      </c>
      <c r="V14" s="36">
        <f>IF(AG14="2",H14,0)</f>
        <v>0</v>
      </c>
      <c r="W14" s="36">
        <f>IF(AG14="2",I14,0)</f>
        <v>0</v>
      </c>
      <c r="X14" s="36">
        <f>IF(AG14="0",J14,0)</f>
        <v>0</v>
      </c>
      <c r="Y14" s="27"/>
      <c r="Z14" s="18">
        <f>IF(AD14=0,J14,0)</f>
        <v>0</v>
      </c>
      <c r="AA14" s="18">
        <f>IF(AD14=15,J14,0)</f>
        <v>0</v>
      </c>
      <c r="AB14" s="18">
        <f>IF(AD14=21,J14,0)</f>
        <v>7315</v>
      </c>
      <c r="AD14" s="36">
        <v>21</v>
      </c>
      <c r="AE14" s="36">
        <f>G14*0</f>
        <v>0</v>
      </c>
      <c r="AF14" s="36">
        <f>G14*(1-0)</f>
        <v>7315</v>
      </c>
      <c r="AG14" s="32" t="s">
        <v>7</v>
      </c>
      <c r="AM14" s="36">
        <f>F14*AE14</f>
        <v>0</v>
      </c>
      <c r="AN14" s="36">
        <f>F14*AF14</f>
        <v>7315</v>
      </c>
      <c r="AO14" s="37" t="s">
        <v>241</v>
      </c>
      <c r="AP14" s="37" t="s">
        <v>241</v>
      </c>
      <c r="AQ14" s="27" t="s">
        <v>262</v>
      </c>
      <c r="AS14" s="36">
        <f>AM14+AN14</f>
        <v>7315</v>
      </c>
      <c r="AT14" s="36">
        <f>G14/(100-AU14)*100</f>
        <v>7315.000000000001</v>
      </c>
      <c r="AU14" s="36">
        <v>0</v>
      </c>
      <c r="AV14" s="36">
        <f>L14</f>
        <v>0</v>
      </c>
    </row>
    <row r="15" spans="1:37" ht="12.75">
      <c r="A15" s="6"/>
      <c r="B15" s="14"/>
      <c r="C15" s="14" t="s">
        <v>17</v>
      </c>
      <c r="D15" s="14" t="s">
        <v>134</v>
      </c>
      <c r="E15" s="6" t="s">
        <v>6</v>
      </c>
      <c r="F15" s="6" t="s">
        <v>6</v>
      </c>
      <c r="G15" s="6"/>
      <c r="H15" s="39">
        <f>SUM(H16:H20)</f>
        <v>16.552910992432587</v>
      </c>
      <c r="I15" s="39">
        <f>SUM(I16:I20)</f>
        <v>11489.257089007568</v>
      </c>
      <c r="J15" s="39">
        <f>H15+I15</f>
        <v>11505.81</v>
      </c>
      <c r="K15" s="27"/>
      <c r="L15" s="39">
        <f>SUM(L16:L20)</f>
        <v>32.508</v>
      </c>
      <c r="M15" s="27"/>
      <c r="Y15" s="27"/>
      <c r="AI15" s="39">
        <f>SUM(Z16:Z20)</f>
        <v>0</v>
      </c>
      <c r="AJ15" s="39">
        <f>SUM(AA16:AA20)</f>
        <v>0</v>
      </c>
      <c r="AK15" s="39">
        <f>SUM(AB16:AB20)</f>
        <v>11505.810000000001</v>
      </c>
    </row>
    <row r="16" spans="1:48" ht="12.75">
      <c r="A16" s="5" t="s">
        <v>9</v>
      </c>
      <c r="B16" s="5"/>
      <c r="C16" s="5" t="s">
        <v>68</v>
      </c>
      <c r="D16" s="5" t="s">
        <v>135</v>
      </c>
      <c r="E16" s="5" t="s">
        <v>206</v>
      </c>
      <c r="F16" s="18">
        <v>18</v>
      </c>
      <c r="G16" s="101">
        <v>90</v>
      </c>
      <c r="H16" s="18">
        <f>F16*AE16</f>
        <v>0</v>
      </c>
      <c r="I16" s="18">
        <f>J16-H16</f>
        <v>1620</v>
      </c>
      <c r="J16" s="18">
        <f>F16*G16</f>
        <v>1620</v>
      </c>
      <c r="K16" s="18">
        <v>0.23</v>
      </c>
      <c r="L16" s="18">
        <f>F16*K16</f>
        <v>4.140000000000001</v>
      </c>
      <c r="M16" s="32" t="s">
        <v>229</v>
      </c>
      <c r="P16" s="36">
        <f>IF(AG16="5",J16,0)</f>
        <v>0</v>
      </c>
      <c r="R16" s="36">
        <f>IF(AG16="1",H16,0)</f>
        <v>0</v>
      </c>
      <c r="S16" s="36">
        <f>IF(AG16="1",I16,0)</f>
        <v>1620</v>
      </c>
      <c r="T16" s="36">
        <f>IF(AG16="7",H16,0)</f>
        <v>0</v>
      </c>
      <c r="U16" s="36">
        <f>IF(AG16="7",I16,0)</f>
        <v>0</v>
      </c>
      <c r="V16" s="36">
        <f>IF(AG16="2",H16,0)</f>
        <v>0</v>
      </c>
      <c r="W16" s="36">
        <f>IF(AG16="2",I16,0)</f>
        <v>0</v>
      </c>
      <c r="X16" s="36">
        <f>IF(AG16="0",J16,0)</f>
        <v>0</v>
      </c>
      <c r="Y16" s="27"/>
      <c r="Z16" s="18">
        <f>IF(AD16=0,J16,0)</f>
        <v>0</v>
      </c>
      <c r="AA16" s="18">
        <f>IF(AD16=15,J16,0)</f>
        <v>0</v>
      </c>
      <c r="AB16" s="18">
        <f>IF(AD16=21,J16,0)</f>
        <v>1620</v>
      </c>
      <c r="AD16" s="36">
        <v>21</v>
      </c>
      <c r="AE16" s="36">
        <f>G16*0</f>
        <v>0</v>
      </c>
      <c r="AF16" s="36">
        <f>G16*(1-0)</f>
        <v>90</v>
      </c>
      <c r="AG16" s="32" t="s">
        <v>7</v>
      </c>
      <c r="AM16" s="36">
        <f>F16*AE16</f>
        <v>0</v>
      </c>
      <c r="AN16" s="36">
        <f>F16*AF16</f>
        <v>1620</v>
      </c>
      <c r="AO16" s="37" t="s">
        <v>242</v>
      </c>
      <c r="AP16" s="37" t="s">
        <v>257</v>
      </c>
      <c r="AQ16" s="27" t="s">
        <v>262</v>
      </c>
      <c r="AS16" s="36">
        <f>AM16+AN16</f>
        <v>1620</v>
      </c>
      <c r="AT16" s="36">
        <f>G16/(100-AU16)*100</f>
        <v>90</v>
      </c>
      <c r="AU16" s="36">
        <v>0</v>
      </c>
      <c r="AV16" s="36">
        <f>L16</f>
        <v>4.140000000000001</v>
      </c>
    </row>
    <row r="17" spans="1:48" ht="12.75">
      <c r="A17" s="5" t="s">
        <v>10</v>
      </c>
      <c r="B17" s="5"/>
      <c r="C17" s="5" t="s">
        <v>69</v>
      </c>
      <c r="D17" s="5" t="s">
        <v>136</v>
      </c>
      <c r="E17" s="5" t="s">
        <v>207</v>
      </c>
      <c r="F17" s="18">
        <v>38.08</v>
      </c>
      <c r="G17" s="101">
        <v>116</v>
      </c>
      <c r="H17" s="18">
        <f>F17*AE17</f>
        <v>0</v>
      </c>
      <c r="I17" s="18">
        <f>J17-H17</f>
        <v>4417.28</v>
      </c>
      <c r="J17" s="18">
        <f>F17*G17</f>
        <v>4417.28</v>
      </c>
      <c r="K17" s="18">
        <v>0.225</v>
      </c>
      <c r="L17" s="18">
        <f>F17*K17</f>
        <v>8.568</v>
      </c>
      <c r="M17" s="32" t="s">
        <v>229</v>
      </c>
      <c r="P17" s="36">
        <f>IF(AG17="5",J17,0)</f>
        <v>0</v>
      </c>
      <c r="R17" s="36">
        <f>IF(AG17="1",H17,0)</f>
        <v>0</v>
      </c>
      <c r="S17" s="36">
        <f>IF(AG17="1",I17,0)</f>
        <v>4417.28</v>
      </c>
      <c r="T17" s="36">
        <f>IF(AG17="7",H17,0)</f>
        <v>0</v>
      </c>
      <c r="U17" s="36">
        <f>IF(AG17="7",I17,0)</f>
        <v>0</v>
      </c>
      <c r="V17" s="36">
        <f>IF(AG17="2",H17,0)</f>
        <v>0</v>
      </c>
      <c r="W17" s="36">
        <f>IF(AG17="2",I17,0)</f>
        <v>0</v>
      </c>
      <c r="X17" s="36">
        <f>IF(AG17="0",J17,0)</f>
        <v>0</v>
      </c>
      <c r="Y17" s="27"/>
      <c r="Z17" s="18">
        <f>IF(AD17=0,J17,0)</f>
        <v>0</v>
      </c>
      <c r="AA17" s="18">
        <f>IF(AD17=15,J17,0)</f>
        <v>0</v>
      </c>
      <c r="AB17" s="18">
        <f>IF(AD17=21,J17,0)</f>
        <v>4417.28</v>
      </c>
      <c r="AD17" s="36">
        <v>21</v>
      </c>
      <c r="AE17" s="36">
        <f>G17*0</f>
        <v>0</v>
      </c>
      <c r="AF17" s="36">
        <f>G17*(1-0)</f>
        <v>116</v>
      </c>
      <c r="AG17" s="32" t="s">
        <v>7</v>
      </c>
      <c r="AM17" s="36">
        <f>F17*AE17</f>
        <v>0</v>
      </c>
      <c r="AN17" s="36">
        <f>F17*AF17</f>
        <v>4417.28</v>
      </c>
      <c r="AO17" s="37" t="s">
        <v>242</v>
      </c>
      <c r="AP17" s="37" t="s">
        <v>257</v>
      </c>
      <c r="AQ17" s="27" t="s">
        <v>262</v>
      </c>
      <c r="AS17" s="36">
        <f>AM17+AN17</f>
        <v>4417.28</v>
      </c>
      <c r="AT17" s="36">
        <f>G17/(100-AU17)*100</f>
        <v>115.99999999999999</v>
      </c>
      <c r="AU17" s="36">
        <v>0</v>
      </c>
      <c r="AV17" s="36">
        <f>L17</f>
        <v>8.568</v>
      </c>
    </row>
    <row r="18" spans="1:48" ht="12.75">
      <c r="A18" s="5" t="s">
        <v>11</v>
      </c>
      <c r="B18" s="5"/>
      <c r="C18" s="5" t="s">
        <v>70</v>
      </c>
      <c r="D18" s="5" t="s">
        <v>137</v>
      </c>
      <c r="E18" s="5" t="s">
        <v>207</v>
      </c>
      <c r="F18" s="18">
        <v>8.09</v>
      </c>
      <c r="G18" s="101">
        <v>115</v>
      </c>
      <c r="H18" s="18">
        <f>F18*AE18</f>
        <v>16.552910992432587</v>
      </c>
      <c r="I18" s="18">
        <f>J18-H18</f>
        <v>913.7970890075675</v>
      </c>
      <c r="J18" s="18">
        <f>F18*G18</f>
        <v>930.35</v>
      </c>
      <c r="K18" s="18">
        <v>0</v>
      </c>
      <c r="L18" s="18">
        <f>F18*K18</f>
        <v>0</v>
      </c>
      <c r="M18" s="32" t="s">
        <v>230</v>
      </c>
      <c r="P18" s="36">
        <f>IF(AG18="5",J18,0)</f>
        <v>0</v>
      </c>
      <c r="R18" s="36">
        <f>IF(AG18="1",H18,0)</f>
        <v>16.552910992432587</v>
      </c>
      <c r="S18" s="36">
        <f>IF(AG18="1",I18,0)</f>
        <v>913.7970890075675</v>
      </c>
      <c r="T18" s="36">
        <f>IF(AG18="7",H18,0)</f>
        <v>0</v>
      </c>
      <c r="U18" s="36">
        <f>IF(AG18="7",I18,0)</f>
        <v>0</v>
      </c>
      <c r="V18" s="36">
        <f>IF(AG18="2",H18,0)</f>
        <v>0</v>
      </c>
      <c r="W18" s="36">
        <f>IF(AG18="2",I18,0)</f>
        <v>0</v>
      </c>
      <c r="X18" s="36">
        <f>IF(AG18="0",J18,0)</f>
        <v>0</v>
      </c>
      <c r="Y18" s="27"/>
      <c r="Z18" s="18">
        <f>IF(AD18=0,J18,0)</f>
        <v>0</v>
      </c>
      <c r="AA18" s="18">
        <f>IF(AD18=15,J18,0)</f>
        <v>0</v>
      </c>
      <c r="AB18" s="18">
        <f>IF(AD18=21,J18,0)</f>
        <v>930.35</v>
      </c>
      <c r="AD18" s="36">
        <v>21</v>
      </c>
      <c r="AE18" s="36">
        <f>G18*0.0177921330600662</f>
        <v>2.046095301907613</v>
      </c>
      <c r="AF18" s="36">
        <f>G18*(1-0.0177921330600662)</f>
        <v>112.95390469809239</v>
      </c>
      <c r="AG18" s="32" t="s">
        <v>7</v>
      </c>
      <c r="AM18" s="36">
        <f>F18*AE18</f>
        <v>16.552910992432587</v>
      </c>
      <c r="AN18" s="36">
        <f>F18*AF18</f>
        <v>913.7970890075674</v>
      </c>
      <c r="AO18" s="37" t="s">
        <v>242</v>
      </c>
      <c r="AP18" s="37" t="s">
        <v>257</v>
      </c>
      <c r="AQ18" s="27" t="s">
        <v>262</v>
      </c>
      <c r="AS18" s="36">
        <f>AM18+AN18</f>
        <v>930.3499999999999</v>
      </c>
      <c r="AT18" s="36">
        <f>G18/(100-AU18)*100</f>
        <v>114.99999999999999</v>
      </c>
      <c r="AU18" s="36">
        <v>0</v>
      </c>
      <c r="AV18" s="36">
        <f>L18</f>
        <v>0</v>
      </c>
    </row>
    <row r="19" spans="1:48" ht="12.75">
      <c r="A19" s="5" t="s">
        <v>12</v>
      </c>
      <c r="B19" s="5"/>
      <c r="C19" s="5" t="s">
        <v>71</v>
      </c>
      <c r="D19" s="5" t="s">
        <v>138</v>
      </c>
      <c r="E19" s="5" t="s">
        <v>207</v>
      </c>
      <c r="F19" s="18">
        <v>21.82</v>
      </c>
      <c r="G19" s="101">
        <v>75</v>
      </c>
      <c r="H19" s="18">
        <f>F19*AE19</f>
        <v>0</v>
      </c>
      <c r="I19" s="18">
        <f>J19-H19</f>
        <v>1636.5</v>
      </c>
      <c r="J19" s="18">
        <f>F19*G19</f>
        <v>1636.5</v>
      </c>
      <c r="K19" s="18">
        <v>0.33</v>
      </c>
      <c r="L19" s="18">
        <f>F19*K19</f>
        <v>7.2006000000000006</v>
      </c>
      <c r="M19" s="32" t="s">
        <v>229</v>
      </c>
      <c r="P19" s="36">
        <f>IF(AG19="5",J19,0)</f>
        <v>0</v>
      </c>
      <c r="R19" s="36">
        <f>IF(AG19="1",H19,0)</f>
        <v>0</v>
      </c>
      <c r="S19" s="36">
        <f>IF(AG19="1",I19,0)</f>
        <v>1636.5</v>
      </c>
      <c r="T19" s="36">
        <f>IF(AG19="7",H19,0)</f>
        <v>0</v>
      </c>
      <c r="U19" s="36">
        <f>IF(AG19="7",I19,0)</f>
        <v>0</v>
      </c>
      <c r="V19" s="36">
        <f>IF(AG19="2",H19,0)</f>
        <v>0</v>
      </c>
      <c r="W19" s="36">
        <f>IF(AG19="2",I19,0)</f>
        <v>0</v>
      </c>
      <c r="X19" s="36">
        <f>IF(AG19="0",J19,0)</f>
        <v>0</v>
      </c>
      <c r="Y19" s="27"/>
      <c r="Z19" s="18">
        <f>IF(AD19=0,J19,0)</f>
        <v>0</v>
      </c>
      <c r="AA19" s="18">
        <f>IF(AD19=15,J19,0)</f>
        <v>0</v>
      </c>
      <c r="AB19" s="18">
        <f>IF(AD19=21,J19,0)</f>
        <v>1636.5</v>
      </c>
      <c r="AD19" s="36">
        <v>21</v>
      </c>
      <c r="AE19" s="36">
        <f>G19*0</f>
        <v>0</v>
      </c>
      <c r="AF19" s="36">
        <f>G19*(1-0)</f>
        <v>75</v>
      </c>
      <c r="AG19" s="32" t="s">
        <v>7</v>
      </c>
      <c r="AM19" s="36">
        <f>F19*AE19</f>
        <v>0</v>
      </c>
      <c r="AN19" s="36">
        <f>F19*AF19</f>
        <v>1636.5</v>
      </c>
      <c r="AO19" s="37" t="s">
        <v>242</v>
      </c>
      <c r="AP19" s="37" t="s">
        <v>257</v>
      </c>
      <c r="AQ19" s="27" t="s">
        <v>262</v>
      </c>
      <c r="AS19" s="36">
        <f>AM19+AN19</f>
        <v>1636.5</v>
      </c>
      <c r="AT19" s="36">
        <f>G19/(100-AU19)*100</f>
        <v>75</v>
      </c>
      <c r="AU19" s="36">
        <v>0</v>
      </c>
      <c r="AV19" s="36">
        <f>L19</f>
        <v>7.2006000000000006</v>
      </c>
    </row>
    <row r="20" spans="1:48" ht="12.75">
      <c r="A20" s="5" t="s">
        <v>13</v>
      </c>
      <c r="B20" s="5"/>
      <c r="C20" s="5" t="s">
        <v>72</v>
      </c>
      <c r="D20" s="5" t="s">
        <v>139</v>
      </c>
      <c r="E20" s="5" t="s">
        <v>207</v>
      </c>
      <c r="F20" s="18">
        <v>19.09</v>
      </c>
      <c r="G20" s="101">
        <v>152</v>
      </c>
      <c r="H20" s="18">
        <f>F20*AE20</f>
        <v>0</v>
      </c>
      <c r="I20" s="18">
        <f>J20-H20</f>
        <v>2901.68</v>
      </c>
      <c r="J20" s="18">
        <f>F20*G20</f>
        <v>2901.68</v>
      </c>
      <c r="K20" s="18">
        <v>0.66</v>
      </c>
      <c r="L20" s="18">
        <f>F20*K20</f>
        <v>12.599400000000001</v>
      </c>
      <c r="M20" s="32" t="s">
        <v>229</v>
      </c>
      <c r="P20" s="36">
        <f>IF(AG20="5",J20,0)</f>
        <v>0</v>
      </c>
      <c r="R20" s="36">
        <f>IF(AG20="1",H20,0)</f>
        <v>0</v>
      </c>
      <c r="S20" s="36">
        <f>IF(AG20="1",I20,0)</f>
        <v>2901.68</v>
      </c>
      <c r="T20" s="36">
        <f>IF(AG20="7",H20,0)</f>
        <v>0</v>
      </c>
      <c r="U20" s="36">
        <f>IF(AG20="7",I20,0)</f>
        <v>0</v>
      </c>
      <c r="V20" s="36">
        <f>IF(AG20="2",H20,0)</f>
        <v>0</v>
      </c>
      <c r="W20" s="36">
        <f>IF(AG20="2",I20,0)</f>
        <v>0</v>
      </c>
      <c r="X20" s="36">
        <f>IF(AG20="0",J20,0)</f>
        <v>0</v>
      </c>
      <c r="Y20" s="27"/>
      <c r="Z20" s="18">
        <f>IF(AD20=0,J20,0)</f>
        <v>0</v>
      </c>
      <c r="AA20" s="18">
        <f>IF(AD20=15,J20,0)</f>
        <v>0</v>
      </c>
      <c r="AB20" s="18">
        <f>IF(AD20=21,J20,0)</f>
        <v>2901.68</v>
      </c>
      <c r="AD20" s="36">
        <v>21</v>
      </c>
      <c r="AE20" s="36">
        <f>G20*0</f>
        <v>0</v>
      </c>
      <c r="AF20" s="36">
        <f>G20*(1-0)</f>
        <v>152</v>
      </c>
      <c r="AG20" s="32" t="s">
        <v>7</v>
      </c>
      <c r="AM20" s="36">
        <f>F20*AE20</f>
        <v>0</v>
      </c>
      <c r="AN20" s="36">
        <f>F20*AF20</f>
        <v>2901.68</v>
      </c>
      <c r="AO20" s="37" t="s">
        <v>242</v>
      </c>
      <c r="AP20" s="37" t="s">
        <v>257</v>
      </c>
      <c r="AQ20" s="27" t="s">
        <v>262</v>
      </c>
      <c r="AS20" s="36">
        <f>AM20+AN20</f>
        <v>2901.68</v>
      </c>
      <c r="AT20" s="36">
        <f>G20/(100-AU20)*100</f>
        <v>152</v>
      </c>
      <c r="AU20" s="36">
        <v>0</v>
      </c>
      <c r="AV20" s="36">
        <f>L20</f>
        <v>12.599400000000001</v>
      </c>
    </row>
    <row r="21" spans="1:37" ht="12.75">
      <c r="A21" s="6"/>
      <c r="B21" s="14"/>
      <c r="C21" s="14" t="s">
        <v>73</v>
      </c>
      <c r="D21" s="14" t="s">
        <v>140</v>
      </c>
      <c r="E21" s="6" t="s">
        <v>6</v>
      </c>
      <c r="F21" s="6" t="s">
        <v>6</v>
      </c>
      <c r="G21" s="6"/>
      <c r="H21" s="39">
        <f>SUM(H22:H22)</f>
        <v>0</v>
      </c>
      <c r="I21" s="39">
        <f>SUM(I22:I22)</f>
        <v>8778</v>
      </c>
      <c r="J21" s="39">
        <f>H21+I21</f>
        <v>8778</v>
      </c>
      <c r="K21" s="27"/>
      <c r="L21" s="39">
        <f>SUM(L22:L22)</f>
        <v>0</v>
      </c>
      <c r="M21" s="27"/>
      <c r="Y21" s="27"/>
      <c r="AI21" s="39">
        <f>SUM(Z22:Z22)</f>
        <v>0</v>
      </c>
      <c r="AJ21" s="39">
        <f>SUM(AA22:AA22)</f>
        <v>0</v>
      </c>
      <c r="AK21" s="39">
        <f>SUM(AB22:AB22)</f>
        <v>8778</v>
      </c>
    </row>
    <row r="22" spans="1:48" ht="12.75">
      <c r="A22" s="5" t="s">
        <v>14</v>
      </c>
      <c r="B22" s="5"/>
      <c r="C22" s="5" t="s">
        <v>74</v>
      </c>
      <c r="D22" s="5" t="s">
        <v>141</v>
      </c>
      <c r="E22" s="5" t="s">
        <v>208</v>
      </c>
      <c r="F22" s="18">
        <v>6</v>
      </c>
      <c r="G22" s="101">
        <v>1463</v>
      </c>
      <c r="H22" s="18">
        <f>F22*AE22</f>
        <v>0</v>
      </c>
      <c r="I22" s="18">
        <f>J22-H22</f>
        <v>8778</v>
      </c>
      <c r="J22" s="18">
        <f>F22*G22</f>
        <v>8778</v>
      </c>
      <c r="K22" s="18">
        <v>0</v>
      </c>
      <c r="L22" s="18">
        <f>F22*K22</f>
        <v>0</v>
      </c>
      <c r="M22" s="32"/>
      <c r="P22" s="36">
        <f>IF(AG22="5",J22,0)</f>
        <v>0</v>
      </c>
      <c r="R22" s="36">
        <f>IF(AG22="1",H22,0)</f>
        <v>0</v>
      </c>
      <c r="S22" s="36">
        <f>IF(AG22="1",I22,0)</f>
        <v>8778</v>
      </c>
      <c r="T22" s="36">
        <f>IF(AG22="7",H22,0)</f>
        <v>0</v>
      </c>
      <c r="U22" s="36">
        <f>IF(AG22="7",I22,0)</f>
        <v>0</v>
      </c>
      <c r="V22" s="36">
        <f>IF(AG22="2",H22,0)</f>
        <v>0</v>
      </c>
      <c r="W22" s="36">
        <f>IF(AG22="2",I22,0)</f>
        <v>0</v>
      </c>
      <c r="X22" s="36">
        <f>IF(AG22="0",J22,0)</f>
        <v>0</v>
      </c>
      <c r="Y22" s="27"/>
      <c r="Z22" s="18">
        <f>IF(AD22=0,J22,0)</f>
        <v>0</v>
      </c>
      <c r="AA22" s="18">
        <f>IF(AD22=15,J22,0)</f>
        <v>0</v>
      </c>
      <c r="AB22" s="18">
        <f>IF(AD22=21,J22,0)</f>
        <v>8778</v>
      </c>
      <c r="AD22" s="36">
        <v>21</v>
      </c>
      <c r="AE22" s="36">
        <f>G22*0</f>
        <v>0</v>
      </c>
      <c r="AF22" s="36">
        <f>G22*(1-0)</f>
        <v>1463</v>
      </c>
      <c r="AG22" s="32" t="s">
        <v>7</v>
      </c>
      <c r="AM22" s="36">
        <f>F22*AE22</f>
        <v>0</v>
      </c>
      <c r="AN22" s="36">
        <f>F22*AF22</f>
        <v>8778</v>
      </c>
      <c r="AO22" s="37" t="s">
        <v>243</v>
      </c>
      <c r="AP22" s="37" t="s">
        <v>257</v>
      </c>
      <c r="AQ22" s="27" t="s">
        <v>262</v>
      </c>
      <c r="AS22" s="36">
        <f>AM22+AN22</f>
        <v>8778</v>
      </c>
      <c r="AT22" s="36">
        <f>G22/(100-AU22)*100</f>
        <v>1463</v>
      </c>
      <c r="AU22" s="36">
        <v>0</v>
      </c>
      <c r="AV22" s="36">
        <f>L22</f>
        <v>0</v>
      </c>
    </row>
    <row r="23" spans="1:37" ht="12.75">
      <c r="A23" s="6"/>
      <c r="B23" s="14"/>
      <c r="C23" s="14" t="s">
        <v>18</v>
      </c>
      <c r="D23" s="14" t="s">
        <v>142</v>
      </c>
      <c r="E23" s="6" t="s">
        <v>6</v>
      </c>
      <c r="F23" s="6" t="s">
        <v>6</v>
      </c>
      <c r="G23" s="6"/>
      <c r="H23" s="39">
        <f>SUM(H24:H24)</f>
        <v>0</v>
      </c>
      <c r="I23" s="39">
        <f>SUM(I24:I24)</f>
        <v>132.44</v>
      </c>
      <c r="J23" s="39">
        <f>H23+I23</f>
        <v>132.44</v>
      </c>
      <c r="K23" s="27"/>
      <c r="L23" s="39">
        <f>SUM(L24:L24)</f>
        <v>0</v>
      </c>
      <c r="M23" s="27"/>
      <c r="Y23" s="27"/>
      <c r="AI23" s="39">
        <f>SUM(Z24:Z24)</f>
        <v>0</v>
      </c>
      <c r="AJ23" s="39">
        <f>SUM(AA24:AA24)</f>
        <v>0</v>
      </c>
      <c r="AK23" s="39">
        <f>SUM(AB24:AB24)</f>
        <v>132.44</v>
      </c>
    </row>
    <row r="24" spans="1:48" ht="12.75">
      <c r="A24" s="5" t="s">
        <v>15</v>
      </c>
      <c r="B24" s="5"/>
      <c r="C24" s="5" t="s">
        <v>75</v>
      </c>
      <c r="D24" s="5" t="s">
        <v>143</v>
      </c>
      <c r="E24" s="5" t="s">
        <v>209</v>
      </c>
      <c r="F24" s="18">
        <v>0.86</v>
      </c>
      <c r="G24" s="101">
        <v>154</v>
      </c>
      <c r="H24" s="18">
        <f>F24*AE24</f>
        <v>0</v>
      </c>
      <c r="I24" s="18">
        <f>J24-H24</f>
        <v>132.44</v>
      </c>
      <c r="J24" s="18">
        <f>F24*G24</f>
        <v>132.44</v>
      </c>
      <c r="K24" s="18">
        <v>0</v>
      </c>
      <c r="L24" s="18">
        <f>F24*K24</f>
        <v>0</v>
      </c>
      <c r="M24" s="32" t="s">
        <v>229</v>
      </c>
      <c r="P24" s="36">
        <f>IF(AG24="5",J24,0)</f>
        <v>0</v>
      </c>
      <c r="R24" s="36">
        <f>IF(AG24="1",H24,0)</f>
        <v>0</v>
      </c>
      <c r="S24" s="36">
        <f>IF(AG24="1",I24,0)</f>
        <v>132.44</v>
      </c>
      <c r="T24" s="36">
        <f>IF(AG24="7",H24,0)</f>
        <v>0</v>
      </c>
      <c r="U24" s="36">
        <f>IF(AG24="7",I24,0)</f>
        <v>0</v>
      </c>
      <c r="V24" s="36">
        <f>IF(AG24="2",H24,0)</f>
        <v>0</v>
      </c>
      <c r="W24" s="36">
        <f>IF(AG24="2",I24,0)</f>
        <v>0</v>
      </c>
      <c r="X24" s="36">
        <f>IF(AG24="0",J24,0)</f>
        <v>0</v>
      </c>
      <c r="Y24" s="27"/>
      <c r="Z24" s="18">
        <f>IF(AD24=0,J24,0)</f>
        <v>0</v>
      </c>
      <c r="AA24" s="18">
        <f>IF(AD24=15,J24,0)</f>
        <v>0</v>
      </c>
      <c r="AB24" s="18">
        <f>IF(AD24=21,J24,0)</f>
        <v>132.44</v>
      </c>
      <c r="AD24" s="36">
        <v>21</v>
      </c>
      <c r="AE24" s="36">
        <f>G24*0</f>
        <v>0</v>
      </c>
      <c r="AF24" s="36">
        <f>G24*(1-0)</f>
        <v>154</v>
      </c>
      <c r="AG24" s="32" t="s">
        <v>7</v>
      </c>
      <c r="AM24" s="36">
        <f>F24*AE24</f>
        <v>0</v>
      </c>
      <c r="AN24" s="36">
        <f>F24*AF24</f>
        <v>132.44</v>
      </c>
      <c r="AO24" s="37" t="s">
        <v>244</v>
      </c>
      <c r="AP24" s="37" t="s">
        <v>257</v>
      </c>
      <c r="AQ24" s="27" t="s">
        <v>262</v>
      </c>
      <c r="AS24" s="36">
        <f>AM24+AN24</f>
        <v>132.44</v>
      </c>
      <c r="AT24" s="36">
        <f>G24/(100-AU24)*100</f>
        <v>154</v>
      </c>
      <c r="AU24" s="36">
        <v>0</v>
      </c>
      <c r="AV24" s="36">
        <f>L24</f>
        <v>0</v>
      </c>
    </row>
    <row r="25" spans="1:37" ht="12.75">
      <c r="A25" s="6"/>
      <c r="B25" s="14"/>
      <c r="C25" s="14" t="s">
        <v>19</v>
      </c>
      <c r="D25" s="14" t="s">
        <v>144</v>
      </c>
      <c r="E25" s="6" t="s">
        <v>6</v>
      </c>
      <c r="F25" s="6" t="s">
        <v>6</v>
      </c>
      <c r="G25" s="6"/>
      <c r="H25" s="39">
        <f>SUM(H26:H26)</f>
        <v>0</v>
      </c>
      <c r="I25" s="39">
        <f>SUM(I26:I26)</f>
        <v>10.74</v>
      </c>
      <c r="J25" s="39">
        <f>H25+I25</f>
        <v>10.74</v>
      </c>
      <c r="K25" s="27"/>
      <c r="L25" s="39">
        <f>SUM(L26:L26)</f>
        <v>0</v>
      </c>
      <c r="M25" s="27"/>
      <c r="Y25" s="27"/>
      <c r="AI25" s="39">
        <f>SUM(Z26:Z26)</f>
        <v>0</v>
      </c>
      <c r="AJ25" s="39">
        <f>SUM(AA26:AA26)</f>
        <v>0</v>
      </c>
      <c r="AK25" s="39">
        <f>SUM(AB26:AB26)</f>
        <v>10.74</v>
      </c>
    </row>
    <row r="26" spans="1:48" ht="12.75">
      <c r="A26" s="5" t="s">
        <v>16</v>
      </c>
      <c r="B26" s="5"/>
      <c r="C26" s="5" t="s">
        <v>76</v>
      </c>
      <c r="D26" s="5" t="s">
        <v>145</v>
      </c>
      <c r="E26" s="5" t="s">
        <v>209</v>
      </c>
      <c r="F26" s="18">
        <v>0.06</v>
      </c>
      <c r="G26" s="101">
        <v>179</v>
      </c>
      <c r="H26" s="18">
        <f>F26*AE26</f>
        <v>0</v>
      </c>
      <c r="I26" s="18">
        <f>J26-H26</f>
        <v>10.74</v>
      </c>
      <c r="J26" s="18">
        <f>F26*G26</f>
        <v>10.74</v>
      </c>
      <c r="K26" s="18">
        <v>0</v>
      </c>
      <c r="L26" s="18">
        <f>F26*K26</f>
        <v>0</v>
      </c>
      <c r="M26" s="32" t="s">
        <v>229</v>
      </c>
      <c r="P26" s="36">
        <f>IF(AG26="5",J26,0)</f>
        <v>0</v>
      </c>
      <c r="R26" s="36">
        <f>IF(AG26="1",H26,0)</f>
        <v>0</v>
      </c>
      <c r="S26" s="36">
        <f>IF(AG26="1",I26,0)</f>
        <v>10.74</v>
      </c>
      <c r="T26" s="36">
        <f>IF(AG26="7",H26,0)</f>
        <v>0</v>
      </c>
      <c r="U26" s="36">
        <f>IF(AG26="7",I26,0)</f>
        <v>0</v>
      </c>
      <c r="V26" s="36">
        <f>IF(AG26="2",H26,0)</f>
        <v>0</v>
      </c>
      <c r="W26" s="36">
        <f>IF(AG26="2",I26,0)</f>
        <v>0</v>
      </c>
      <c r="X26" s="36">
        <f>IF(AG26="0",J26,0)</f>
        <v>0</v>
      </c>
      <c r="Y26" s="27"/>
      <c r="Z26" s="18">
        <f>IF(AD26=0,J26,0)</f>
        <v>0</v>
      </c>
      <c r="AA26" s="18">
        <f>IF(AD26=15,J26,0)</f>
        <v>0</v>
      </c>
      <c r="AB26" s="18">
        <f>IF(AD26=21,J26,0)</f>
        <v>10.74</v>
      </c>
      <c r="AD26" s="36">
        <v>21</v>
      </c>
      <c r="AE26" s="36">
        <f>G26*0</f>
        <v>0</v>
      </c>
      <c r="AF26" s="36">
        <f>G26*(1-0)</f>
        <v>179</v>
      </c>
      <c r="AG26" s="32" t="s">
        <v>7</v>
      </c>
      <c r="AM26" s="36">
        <f>F26*AE26</f>
        <v>0</v>
      </c>
      <c r="AN26" s="36">
        <f>F26*AF26</f>
        <v>10.74</v>
      </c>
      <c r="AO26" s="37" t="s">
        <v>245</v>
      </c>
      <c r="AP26" s="37" t="s">
        <v>257</v>
      </c>
      <c r="AQ26" s="27" t="s">
        <v>262</v>
      </c>
      <c r="AS26" s="36">
        <f>AM26+AN26</f>
        <v>10.74</v>
      </c>
      <c r="AT26" s="36">
        <f>G26/(100-AU26)*100</f>
        <v>179</v>
      </c>
      <c r="AU26" s="36">
        <v>0</v>
      </c>
      <c r="AV26" s="36">
        <f>L26</f>
        <v>0</v>
      </c>
    </row>
    <row r="27" spans="1:37" ht="12.75">
      <c r="A27" s="6"/>
      <c r="B27" s="14"/>
      <c r="C27" s="14" t="s">
        <v>22</v>
      </c>
      <c r="D27" s="14" t="s">
        <v>146</v>
      </c>
      <c r="E27" s="6" t="s">
        <v>6</v>
      </c>
      <c r="F27" s="6" t="s">
        <v>6</v>
      </c>
      <c r="G27" s="6"/>
      <c r="H27" s="39">
        <f>SUM(H28:H30)</f>
        <v>0</v>
      </c>
      <c r="I27" s="39">
        <f>SUM(I28:I30)</f>
        <v>763.6</v>
      </c>
      <c r="J27" s="39">
        <f>H27+I27</f>
        <v>763.6</v>
      </c>
      <c r="K27" s="27"/>
      <c r="L27" s="39">
        <f>SUM(L28:L30)</f>
        <v>0</v>
      </c>
      <c r="M27" s="27"/>
      <c r="Y27" s="27"/>
      <c r="AI27" s="39">
        <f>SUM(Z28:Z30)</f>
        <v>0</v>
      </c>
      <c r="AJ27" s="39">
        <f>SUM(AA28:AA30)</f>
        <v>0</v>
      </c>
      <c r="AK27" s="39">
        <f>SUM(AB28:AB30)</f>
        <v>763.6</v>
      </c>
    </row>
    <row r="28" spans="1:48" ht="12.75">
      <c r="A28" s="5" t="s">
        <v>17</v>
      </c>
      <c r="B28" s="5"/>
      <c r="C28" s="5" t="s">
        <v>77</v>
      </c>
      <c r="D28" s="5" t="s">
        <v>147</v>
      </c>
      <c r="E28" s="5" t="s">
        <v>209</v>
      </c>
      <c r="F28" s="18">
        <v>0.92</v>
      </c>
      <c r="G28" s="101">
        <v>79</v>
      </c>
      <c r="H28" s="18">
        <f>F28*AE28</f>
        <v>0</v>
      </c>
      <c r="I28" s="18">
        <f>J28-H28</f>
        <v>72.68</v>
      </c>
      <c r="J28" s="18">
        <f>F28*G28</f>
        <v>72.68</v>
      </c>
      <c r="K28" s="18">
        <v>0</v>
      </c>
      <c r="L28" s="18">
        <f>F28*K28</f>
        <v>0</v>
      </c>
      <c r="M28" s="32" t="s">
        <v>229</v>
      </c>
      <c r="P28" s="36">
        <f>IF(AG28="5",J28,0)</f>
        <v>0</v>
      </c>
      <c r="R28" s="36">
        <f>IF(AG28="1",H28,0)</f>
        <v>0</v>
      </c>
      <c r="S28" s="36">
        <f>IF(AG28="1",I28,0)</f>
        <v>72.68</v>
      </c>
      <c r="T28" s="36">
        <f>IF(AG28="7",H28,0)</f>
        <v>0</v>
      </c>
      <c r="U28" s="36">
        <f>IF(AG28="7",I28,0)</f>
        <v>0</v>
      </c>
      <c r="V28" s="36">
        <f>IF(AG28="2",H28,0)</f>
        <v>0</v>
      </c>
      <c r="W28" s="36">
        <f>IF(AG28="2",I28,0)</f>
        <v>0</v>
      </c>
      <c r="X28" s="36">
        <f>IF(AG28="0",J28,0)</f>
        <v>0</v>
      </c>
      <c r="Y28" s="27"/>
      <c r="Z28" s="18">
        <f>IF(AD28=0,J28,0)</f>
        <v>0</v>
      </c>
      <c r="AA28" s="18">
        <f>IF(AD28=15,J28,0)</f>
        <v>0</v>
      </c>
      <c r="AB28" s="18">
        <f>IF(AD28=21,J28,0)</f>
        <v>72.68</v>
      </c>
      <c r="AD28" s="36">
        <v>21</v>
      </c>
      <c r="AE28" s="36">
        <f>G28*0</f>
        <v>0</v>
      </c>
      <c r="AF28" s="36">
        <f>G28*(1-0)</f>
        <v>79</v>
      </c>
      <c r="AG28" s="32" t="s">
        <v>7</v>
      </c>
      <c r="AM28" s="36">
        <f>F28*AE28</f>
        <v>0</v>
      </c>
      <c r="AN28" s="36">
        <f>F28*AF28</f>
        <v>72.68</v>
      </c>
      <c r="AO28" s="37" t="s">
        <v>246</v>
      </c>
      <c r="AP28" s="37" t="s">
        <v>257</v>
      </c>
      <c r="AQ28" s="27" t="s">
        <v>262</v>
      </c>
      <c r="AS28" s="36">
        <f>AM28+AN28</f>
        <v>72.68</v>
      </c>
      <c r="AT28" s="36">
        <f>G28/(100-AU28)*100</f>
        <v>79</v>
      </c>
      <c r="AU28" s="36">
        <v>0</v>
      </c>
      <c r="AV28" s="36">
        <f>L28</f>
        <v>0</v>
      </c>
    </row>
    <row r="29" spans="1:48" ht="12.75">
      <c r="A29" s="5" t="s">
        <v>18</v>
      </c>
      <c r="B29" s="5"/>
      <c r="C29" s="5" t="s">
        <v>78</v>
      </c>
      <c r="D29" s="5" t="s">
        <v>148</v>
      </c>
      <c r="E29" s="5" t="s">
        <v>209</v>
      </c>
      <c r="F29" s="18">
        <v>0.92</v>
      </c>
      <c r="G29" s="101">
        <v>20</v>
      </c>
      <c r="H29" s="18">
        <f>F29*AE29</f>
        <v>0</v>
      </c>
      <c r="I29" s="18">
        <f>J29-H29</f>
        <v>18.400000000000002</v>
      </c>
      <c r="J29" s="18">
        <f>F29*G29</f>
        <v>18.400000000000002</v>
      </c>
      <c r="K29" s="18">
        <v>0</v>
      </c>
      <c r="L29" s="18">
        <f>F29*K29</f>
        <v>0</v>
      </c>
      <c r="M29" s="32" t="s">
        <v>229</v>
      </c>
      <c r="P29" s="36">
        <f>IF(AG29="5",J29,0)</f>
        <v>0</v>
      </c>
      <c r="R29" s="36">
        <f>IF(AG29="1",H29,0)</f>
        <v>0</v>
      </c>
      <c r="S29" s="36">
        <f>IF(AG29="1",I29,0)</f>
        <v>18.400000000000002</v>
      </c>
      <c r="T29" s="36">
        <f>IF(AG29="7",H29,0)</f>
        <v>0</v>
      </c>
      <c r="U29" s="36">
        <f>IF(AG29="7",I29,0)</f>
        <v>0</v>
      </c>
      <c r="V29" s="36">
        <f>IF(AG29="2",H29,0)</f>
        <v>0</v>
      </c>
      <c r="W29" s="36">
        <f>IF(AG29="2",I29,0)</f>
        <v>0</v>
      </c>
      <c r="X29" s="36">
        <f>IF(AG29="0",J29,0)</f>
        <v>0</v>
      </c>
      <c r="Y29" s="27"/>
      <c r="Z29" s="18">
        <f>IF(AD29=0,J29,0)</f>
        <v>0</v>
      </c>
      <c r="AA29" s="18">
        <f>IF(AD29=15,J29,0)</f>
        <v>0</v>
      </c>
      <c r="AB29" s="18">
        <f>IF(AD29=21,J29,0)</f>
        <v>18.400000000000002</v>
      </c>
      <c r="AD29" s="36">
        <v>21</v>
      </c>
      <c r="AE29" s="36">
        <f>G29*0</f>
        <v>0</v>
      </c>
      <c r="AF29" s="36">
        <f>G29*(1-0)</f>
        <v>20</v>
      </c>
      <c r="AG29" s="32" t="s">
        <v>7</v>
      </c>
      <c r="AM29" s="36">
        <f>F29*AE29</f>
        <v>0</v>
      </c>
      <c r="AN29" s="36">
        <f>F29*AF29</f>
        <v>18.400000000000002</v>
      </c>
      <c r="AO29" s="37" t="s">
        <v>246</v>
      </c>
      <c r="AP29" s="37" t="s">
        <v>257</v>
      </c>
      <c r="AQ29" s="27" t="s">
        <v>262</v>
      </c>
      <c r="AS29" s="36">
        <f>AM29+AN29</f>
        <v>18.400000000000002</v>
      </c>
      <c r="AT29" s="36">
        <f>G29/(100-AU29)*100</f>
        <v>20</v>
      </c>
      <c r="AU29" s="36">
        <v>0</v>
      </c>
      <c r="AV29" s="36">
        <f>L29</f>
        <v>0</v>
      </c>
    </row>
    <row r="30" spans="1:48" ht="12.75">
      <c r="A30" s="5" t="s">
        <v>19</v>
      </c>
      <c r="B30" s="5"/>
      <c r="C30" s="5" t="s">
        <v>79</v>
      </c>
      <c r="D30" s="5" t="s">
        <v>149</v>
      </c>
      <c r="E30" s="5" t="s">
        <v>209</v>
      </c>
      <c r="F30" s="18">
        <v>0.92</v>
      </c>
      <c r="G30" s="101">
        <v>731</v>
      </c>
      <c r="H30" s="18">
        <f>F30*AE30</f>
        <v>0</v>
      </c>
      <c r="I30" s="18">
        <f>J30-H30</f>
        <v>672.52</v>
      </c>
      <c r="J30" s="18">
        <f>F30*G30</f>
        <v>672.52</v>
      </c>
      <c r="K30" s="18">
        <v>0</v>
      </c>
      <c r="L30" s="18">
        <f>F30*K30</f>
        <v>0</v>
      </c>
      <c r="M30" s="32" t="s">
        <v>229</v>
      </c>
      <c r="P30" s="36">
        <f>IF(AG30="5",J30,0)</f>
        <v>0</v>
      </c>
      <c r="R30" s="36">
        <f>IF(AG30="1",H30,0)</f>
        <v>0</v>
      </c>
      <c r="S30" s="36">
        <f>IF(AG30="1",I30,0)</f>
        <v>672.52</v>
      </c>
      <c r="T30" s="36">
        <f>IF(AG30="7",H30,0)</f>
        <v>0</v>
      </c>
      <c r="U30" s="36">
        <f>IF(AG30="7",I30,0)</f>
        <v>0</v>
      </c>
      <c r="V30" s="36">
        <f>IF(AG30="2",H30,0)</f>
        <v>0</v>
      </c>
      <c r="W30" s="36">
        <f>IF(AG30="2",I30,0)</f>
        <v>0</v>
      </c>
      <c r="X30" s="36">
        <f>IF(AG30="0",J30,0)</f>
        <v>0</v>
      </c>
      <c r="Y30" s="27"/>
      <c r="Z30" s="18">
        <f>IF(AD30=0,J30,0)</f>
        <v>0</v>
      </c>
      <c r="AA30" s="18">
        <f>IF(AD30=15,J30,0)</f>
        <v>0</v>
      </c>
      <c r="AB30" s="18">
        <f>IF(AD30=21,J30,0)</f>
        <v>672.52</v>
      </c>
      <c r="AD30" s="36">
        <v>21</v>
      </c>
      <c r="AE30" s="36">
        <f>G30*0</f>
        <v>0</v>
      </c>
      <c r="AF30" s="36">
        <f>G30*(1-0)</f>
        <v>731</v>
      </c>
      <c r="AG30" s="32" t="s">
        <v>7</v>
      </c>
      <c r="AM30" s="36">
        <f>F30*AE30</f>
        <v>0</v>
      </c>
      <c r="AN30" s="36">
        <f>F30*AF30</f>
        <v>672.52</v>
      </c>
      <c r="AO30" s="37" t="s">
        <v>246</v>
      </c>
      <c r="AP30" s="37" t="s">
        <v>257</v>
      </c>
      <c r="AQ30" s="27" t="s">
        <v>262</v>
      </c>
      <c r="AS30" s="36">
        <f>AM30+AN30</f>
        <v>672.52</v>
      </c>
      <c r="AT30" s="36">
        <f>G30/(100-AU30)*100</f>
        <v>731</v>
      </c>
      <c r="AU30" s="36">
        <v>0</v>
      </c>
      <c r="AV30" s="36">
        <f>L30</f>
        <v>0</v>
      </c>
    </row>
    <row r="31" spans="1:37" ht="12.75">
      <c r="A31" s="6"/>
      <c r="B31" s="14"/>
      <c r="C31" s="14" t="s">
        <v>24</v>
      </c>
      <c r="D31" s="14" t="s">
        <v>150</v>
      </c>
      <c r="E31" s="6" t="s">
        <v>6</v>
      </c>
      <c r="F31" s="6" t="s">
        <v>6</v>
      </c>
      <c r="G31" s="6"/>
      <c r="H31" s="39">
        <f>SUM(H32:H32)</f>
        <v>0</v>
      </c>
      <c r="I31" s="39">
        <f>SUM(I32:I32)</f>
        <v>821.1</v>
      </c>
      <c r="J31" s="39">
        <f>H31+I31</f>
        <v>821.1</v>
      </c>
      <c r="K31" s="27"/>
      <c r="L31" s="39">
        <f>SUM(L32:L32)</f>
        <v>0</v>
      </c>
      <c r="M31" s="27"/>
      <c r="Y31" s="27"/>
      <c r="AI31" s="39">
        <f>SUM(Z32:Z32)</f>
        <v>0</v>
      </c>
      <c r="AJ31" s="39">
        <f>SUM(AA32:AA32)</f>
        <v>0</v>
      </c>
      <c r="AK31" s="39">
        <f>SUM(AB32:AB32)</f>
        <v>821.1</v>
      </c>
    </row>
    <row r="32" spans="1:48" ht="12.75">
      <c r="A32" s="5" t="s">
        <v>20</v>
      </c>
      <c r="B32" s="5"/>
      <c r="C32" s="5" t="s">
        <v>80</v>
      </c>
      <c r="D32" s="5" t="s">
        <v>151</v>
      </c>
      <c r="E32" s="5" t="s">
        <v>207</v>
      </c>
      <c r="F32" s="18">
        <v>3.45</v>
      </c>
      <c r="G32" s="101">
        <v>238</v>
      </c>
      <c r="H32" s="18">
        <f>F32*AE32</f>
        <v>0</v>
      </c>
      <c r="I32" s="18">
        <f>J32-H32</f>
        <v>821.1</v>
      </c>
      <c r="J32" s="18">
        <f>F32*G32</f>
        <v>821.1</v>
      </c>
      <c r="K32" s="18">
        <v>0</v>
      </c>
      <c r="L32" s="18">
        <f>F32*K32</f>
        <v>0</v>
      </c>
      <c r="M32" s="32" t="s">
        <v>229</v>
      </c>
      <c r="P32" s="36">
        <f>IF(AG32="5",J32,0)</f>
        <v>0</v>
      </c>
      <c r="R32" s="36">
        <f>IF(AG32="1",H32,0)</f>
        <v>0</v>
      </c>
      <c r="S32" s="36">
        <f>IF(AG32="1",I32,0)</f>
        <v>821.1</v>
      </c>
      <c r="T32" s="36">
        <f>IF(AG32="7",H32,0)</f>
        <v>0</v>
      </c>
      <c r="U32" s="36">
        <f>IF(AG32="7",I32,0)</f>
        <v>0</v>
      </c>
      <c r="V32" s="36">
        <f>IF(AG32="2",H32,0)</f>
        <v>0</v>
      </c>
      <c r="W32" s="36">
        <f>IF(AG32="2",I32,0)</f>
        <v>0</v>
      </c>
      <c r="X32" s="36">
        <f>IF(AG32="0",J32,0)</f>
        <v>0</v>
      </c>
      <c r="Y32" s="27"/>
      <c r="Z32" s="18">
        <f>IF(AD32=0,J32,0)</f>
        <v>0</v>
      </c>
      <c r="AA32" s="18">
        <f>IF(AD32=15,J32,0)</f>
        <v>0</v>
      </c>
      <c r="AB32" s="18">
        <f>IF(AD32=21,J32,0)</f>
        <v>821.1</v>
      </c>
      <c r="AD32" s="36">
        <v>21</v>
      </c>
      <c r="AE32" s="36">
        <f>G32*0</f>
        <v>0</v>
      </c>
      <c r="AF32" s="36">
        <f>G32*(1-0)</f>
        <v>238</v>
      </c>
      <c r="AG32" s="32" t="s">
        <v>7</v>
      </c>
      <c r="AM32" s="36">
        <f>F32*AE32</f>
        <v>0</v>
      </c>
      <c r="AN32" s="36">
        <f>F32*AF32</f>
        <v>821.1</v>
      </c>
      <c r="AO32" s="37" t="s">
        <v>247</v>
      </c>
      <c r="AP32" s="37" t="s">
        <v>257</v>
      </c>
      <c r="AQ32" s="27" t="s">
        <v>262</v>
      </c>
      <c r="AS32" s="36">
        <f>AM32+AN32</f>
        <v>821.1</v>
      </c>
      <c r="AT32" s="36">
        <f>G32/(100-AU32)*100</f>
        <v>238</v>
      </c>
      <c r="AU32" s="36">
        <v>0</v>
      </c>
      <c r="AV32" s="36">
        <f>L32</f>
        <v>0</v>
      </c>
    </row>
    <row r="33" spans="1:37" ht="12.75">
      <c r="A33" s="6"/>
      <c r="B33" s="14"/>
      <c r="C33" s="14" t="s">
        <v>33</v>
      </c>
      <c r="D33" s="14" t="s">
        <v>152</v>
      </c>
      <c r="E33" s="6" t="s">
        <v>6</v>
      </c>
      <c r="F33" s="6" t="s">
        <v>6</v>
      </c>
      <c r="G33" s="6"/>
      <c r="H33" s="39">
        <f>SUM(H34:H34)</f>
        <v>1903.1451603582093</v>
      </c>
      <c r="I33" s="39">
        <f>SUM(I34:I34)</f>
        <v>169.7348396417908</v>
      </c>
      <c r="J33" s="39">
        <f>H33+I33</f>
        <v>2072.88</v>
      </c>
      <c r="K33" s="27"/>
      <c r="L33" s="39">
        <f>SUM(L34:L34)</f>
        <v>0.155136</v>
      </c>
      <c r="M33" s="27"/>
      <c r="Y33" s="27"/>
      <c r="AI33" s="39">
        <f>SUM(Z34:Z34)</f>
        <v>0</v>
      </c>
      <c r="AJ33" s="39">
        <f>SUM(AA34:AA34)</f>
        <v>0</v>
      </c>
      <c r="AK33" s="39">
        <f>SUM(AB34:AB34)</f>
        <v>2072.88</v>
      </c>
    </row>
    <row r="34" spans="1:48" ht="12.75">
      <c r="A34" s="5" t="s">
        <v>21</v>
      </c>
      <c r="B34" s="5"/>
      <c r="C34" s="5" t="s">
        <v>81</v>
      </c>
      <c r="D34" s="5" t="s">
        <v>153</v>
      </c>
      <c r="E34" s="5" t="s">
        <v>209</v>
      </c>
      <c r="F34" s="18">
        <v>0.06</v>
      </c>
      <c r="G34" s="101">
        <v>34548</v>
      </c>
      <c r="H34" s="18">
        <f>F34*AE34</f>
        <v>1903.1451603582093</v>
      </c>
      <c r="I34" s="18">
        <f>J34-H34</f>
        <v>169.7348396417908</v>
      </c>
      <c r="J34" s="18">
        <f>F34*G34</f>
        <v>2072.88</v>
      </c>
      <c r="K34" s="18">
        <v>2.5856</v>
      </c>
      <c r="L34" s="18">
        <f>F34*K34</f>
        <v>0.155136</v>
      </c>
      <c r="M34" s="32" t="s">
        <v>229</v>
      </c>
      <c r="P34" s="36">
        <f>IF(AG34="5",J34,0)</f>
        <v>0</v>
      </c>
      <c r="R34" s="36">
        <f>IF(AG34="1",H34,0)</f>
        <v>1903.1451603582093</v>
      </c>
      <c r="S34" s="36">
        <f>IF(AG34="1",I34,0)</f>
        <v>169.7348396417908</v>
      </c>
      <c r="T34" s="36">
        <f>IF(AG34="7",H34,0)</f>
        <v>0</v>
      </c>
      <c r="U34" s="36">
        <f>IF(AG34="7",I34,0)</f>
        <v>0</v>
      </c>
      <c r="V34" s="36">
        <f>IF(AG34="2",H34,0)</f>
        <v>0</v>
      </c>
      <c r="W34" s="36">
        <f>IF(AG34="2",I34,0)</f>
        <v>0</v>
      </c>
      <c r="X34" s="36">
        <f>IF(AG34="0",J34,0)</f>
        <v>0</v>
      </c>
      <c r="Y34" s="27"/>
      <c r="Z34" s="18">
        <f>IF(AD34=0,J34,0)</f>
        <v>0</v>
      </c>
      <c r="AA34" s="18">
        <f>IF(AD34=15,J34,0)</f>
        <v>0</v>
      </c>
      <c r="AB34" s="18">
        <f>IF(AD34=21,J34,0)</f>
        <v>2072.88</v>
      </c>
      <c r="AD34" s="36">
        <v>21</v>
      </c>
      <c r="AE34" s="36">
        <f>G34*0.918116417910448</f>
        <v>31719.086005970155</v>
      </c>
      <c r="AF34" s="36">
        <f>G34*(1-0.918116417910448)</f>
        <v>2828.913994029844</v>
      </c>
      <c r="AG34" s="32" t="s">
        <v>7</v>
      </c>
      <c r="AM34" s="36">
        <f>F34*AE34</f>
        <v>1903.1451603582093</v>
      </c>
      <c r="AN34" s="36">
        <f>F34*AF34</f>
        <v>169.73483964179064</v>
      </c>
      <c r="AO34" s="37" t="s">
        <v>248</v>
      </c>
      <c r="AP34" s="37" t="s">
        <v>258</v>
      </c>
      <c r="AQ34" s="27" t="s">
        <v>262</v>
      </c>
      <c r="AS34" s="36">
        <f>AM34+AN34</f>
        <v>2072.88</v>
      </c>
      <c r="AT34" s="36">
        <f>G34/(100-AU34)*100</f>
        <v>34548</v>
      </c>
      <c r="AU34" s="36">
        <v>0</v>
      </c>
      <c r="AV34" s="36">
        <f>L34</f>
        <v>0.155136</v>
      </c>
    </row>
    <row r="35" spans="1:37" ht="12.75">
      <c r="A35" s="6"/>
      <c r="B35" s="14"/>
      <c r="C35" s="14" t="s">
        <v>82</v>
      </c>
      <c r="D35" s="14" t="s">
        <v>154</v>
      </c>
      <c r="E35" s="6" t="s">
        <v>6</v>
      </c>
      <c r="F35" s="6" t="s">
        <v>6</v>
      </c>
      <c r="G35" s="6"/>
      <c r="H35" s="39">
        <f>SUM(H36:H37)</f>
        <v>21677.275895001316</v>
      </c>
      <c r="I35" s="39">
        <f>SUM(I36:I37)</f>
        <v>3451.8641049986827</v>
      </c>
      <c r="J35" s="39">
        <f>H35+I35</f>
        <v>25129.14</v>
      </c>
      <c r="K35" s="27"/>
      <c r="L35" s="39">
        <f>SUM(L36:L37)</f>
        <v>17.2852862</v>
      </c>
      <c r="M35" s="27"/>
      <c r="Y35" s="27"/>
      <c r="AI35" s="39">
        <f>SUM(Z36:Z37)</f>
        <v>0</v>
      </c>
      <c r="AJ35" s="39">
        <f>SUM(AA36:AA37)</f>
        <v>0</v>
      </c>
      <c r="AK35" s="39">
        <f>SUM(AB36:AB37)</f>
        <v>25129.14</v>
      </c>
    </row>
    <row r="36" spans="1:48" ht="12.75">
      <c r="A36" s="5" t="s">
        <v>22</v>
      </c>
      <c r="B36" s="5"/>
      <c r="C36" s="5" t="s">
        <v>83</v>
      </c>
      <c r="D36" s="5" t="s">
        <v>155</v>
      </c>
      <c r="E36" s="5" t="s">
        <v>207</v>
      </c>
      <c r="F36" s="18">
        <v>53.62</v>
      </c>
      <c r="G36" s="101">
        <v>368</v>
      </c>
      <c r="H36" s="18">
        <f>F36*AE36</f>
        <v>17085.575229148973</v>
      </c>
      <c r="I36" s="18">
        <f>J36-H36</f>
        <v>2646.5847708510264</v>
      </c>
      <c r="J36" s="18">
        <f>F36*G36</f>
        <v>19732.16</v>
      </c>
      <c r="K36" s="18">
        <v>0.27994</v>
      </c>
      <c r="L36" s="18">
        <f>F36*K36</f>
        <v>15.0103828</v>
      </c>
      <c r="M36" s="32" t="s">
        <v>229</v>
      </c>
      <c r="P36" s="36">
        <f>IF(AG36="5",J36,0)</f>
        <v>0</v>
      </c>
      <c r="R36" s="36">
        <f>IF(AG36="1",H36,0)</f>
        <v>17085.575229148973</v>
      </c>
      <c r="S36" s="36">
        <f>IF(AG36="1",I36,0)</f>
        <v>2646.5847708510264</v>
      </c>
      <c r="T36" s="36">
        <f>IF(AG36="7",H36,0)</f>
        <v>0</v>
      </c>
      <c r="U36" s="36">
        <f>IF(AG36="7",I36,0)</f>
        <v>0</v>
      </c>
      <c r="V36" s="36">
        <f>IF(AG36="2",H36,0)</f>
        <v>0</v>
      </c>
      <c r="W36" s="36">
        <f>IF(AG36="2",I36,0)</f>
        <v>0</v>
      </c>
      <c r="X36" s="36">
        <f>IF(AG36="0",J36,0)</f>
        <v>0</v>
      </c>
      <c r="Y36" s="27"/>
      <c r="Z36" s="18">
        <f>IF(AD36=0,J36,0)</f>
        <v>0</v>
      </c>
      <c r="AA36" s="18">
        <f>IF(AD36=15,J36,0)</f>
        <v>0</v>
      </c>
      <c r="AB36" s="18">
        <f>IF(AD36=21,J36,0)</f>
        <v>19732.16</v>
      </c>
      <c r="AD36" s="36">
        <v>21</v>
      </c>
      <c r="AE36" s="36">
        <f>G36*0.865874553477621</f>
        <v>318.64183567976454</v>
      </c>
      <c r="AF36" s="36">
        <f>G36*(1-0.865874553477621)</f>
        <v>49.358164320235474</v>
      </c>
      <c r="AG36" s="32" t="s">
        <v>7</v>
      </c>
      <c r="AM36" s="36">
        <f>F36*AE36</f>
        <v>17085.575229148973</v>
      </c>
      <c r="AN36" s="36">
        <f>F36*AF36</f>
        <v>2646.584770851026</v>
      </c>
      <c r="AO36" s="37" t="s">
        <v>249</v>
      </c>
      <c r="AP36" s="37" t="s">
        <v>259</v>
      </c>
      <c r="AQ36" s="27" t="s">
        <v>262</v>
      </c>
      <c r="AS36" s="36">
        <f>AM36+AN36</f>
        <v>19732.16</v>
      </c>
      <c r="AT36" s="36">
        <f>G36/(100-AU36)*100</f>
        <v>368</v>
      </c>
      <c r="AU36" s="36">
        <v>0</v>
      </c>
      <c r="AV36" s="36">
        <f>L36</f>
        <v>15.0103828</v>
      </c>
    </row>
    <row r="37" spans="1:48" ht="12.75">
      <c r="A37" s="5" t="s">
        <v>23</v>
      </c>
      <c r="B37" s="5"/>
      <c r="C37" s="5" t="s">
        <v>84</v>
      </c>
      <c r="D37" s="5" t="s">
        <v>156</v>
      </c>
      <c r="E37" s="5" t="s">
        <v>207</v>
      </c>
      <c r="F37" s="18">
        <v>4.49</v>
      </c>
      <c r="G37" s="101">
        <v>1202</v>
      </c>
      <c r="H37" s="18">
        <f>F37*AE37</f>
        <v>4591.700665852344</v>
      </c>
      <c r="I37" s="18">
        <f>J37-H37</f>
        <v>805.2793341476563</v>
      </c>
      <c r="J37" s="18">
        <f>F37*G37</f>
        <v>5396.9800000000005</v>
      </c>
      <c r="K37" s="18">
        <v>0.50666</v>
      </c>
      <c r="L37" s="18">
        <f>F37*K37</f>
        <v>2.2749034</v>
      </c>
      <c r="M37" s="32" t="s">
        <v>229</v>
      </c>
      <c r="P37" s="36">
        <f>IF(AG37="5",J37,0)</f>
        <v>0</v>
      </c>
      <c r="R37" s="36">
        <f>IF(AG37="1",H37,0)</f>
        <v>4591.700665852344</v>
      </c>
      <c r="S37" s="36">
        <f>IF(AG37="1",I37,0)</f>
        <v>805.2793341476563</v>
      </c>
      <c r="T37" s="36">
        <f>IF(AG37="7",H37,0)</f>
        <v>0</v>
      </c>
      <c r="U37" s="36">
        <f>IF(AG37="7",I37,0)</f>
        <v>0</v>
      </c>
      <c r="V37" s="36">
        <f>IF(AG37="2",H37,0)</f>
        <v>0</v>
      </c>
      <c r="W37" s="36">
        <f>IF(AG37="2",I37,0)</f>
        <v>0</v>
      </c>
      <c r="X37" s="36">
        <f>IF(AG37="0",J37,0)</f>
        <v>0</v>
      </c>
      <c r="Y37" s="27"/>
      <c r="Z37" s="18">
        <f>IF(AD37=0,J37,0)</f>
        <v>0</v>
      </c>
      <c r="AA37" s="18">
        <f>IF(AD37=15,J37,0)</f>
        <v>0</v>
      </c>
      <c r="AB37" s="18">
        <f>IF(AD37=21,J37,0)</f>
        <v>5396.9800000000005</v>
      </c>
      <c r="AD37" s="36">
        <v>21</v>
      </c>
      <c r="AE37" s="36">
        <f>G37*0.85079075072584</f>
        <v>1022.6504823724597</v>
      </c>
      <c r="AF37" s="36">
        <f>G37*(1-0.85079075072584)</f>
        <v>179.34951762754034</v>
      </c>
      <c r="AG37" s="32" t="s">
        <v>7</v>
      </c>
      <c r="AM37" s="36">
        <f>F37*AE37</f>
        <v>4591.700665852344</v>
      </c>
      <c r="AN37" s="36">
        <f>F37*AF37</f>
        <v>805.2793341476562</v>
      </c>
      <c r="AO37" s="37" t="s">
        <v>249</v>
      </c>
      <c r="AP37" s="37" t="s">
        <v>259</v>
      </c>
      <c r="AQ37" s="27" t="s">
        <v>262</v>
      </c>
      <c r="AS37" s="36">
        <f>AM37+AN37</f>
        <v>5396.9800000000005</v>
      </c>
      <c r="AT37" s="36">
        <f>G37/(100-AU37)*100</f>
        <v>1202</v>
      </c>
      <c r="AU37" s="36">
        <v>0</v>
      </c>
      <c r="AV37" s="36">
        <f>L37</f>
        <v>2.2749034</v>
      </c>
    </row>
    <row r="38" spans="1:37" ht="12.75">
      <c r="A38" s="6"/>
      <c r="B38" s="14"/>
      <c r="C38" s="14" t="s">
        <v>85</v>
      </c>
      <c r="D38" s="14" t="s">
        <v>157</v>
      </c>
      <c r="E38" s="6" t="s">
        <v>6</v>
      </c>
      <c r="F38" s="6" t="s">
        <v>6</v>
      </c>
      <c r="G38" s="6"/>
      <c r="H38" s="39">
        <f>SUM(H39:H40)</f>
        <v>0</v>
      </c>
      <c r="I38" s="39">
        <f>SUM(I39:I40)</f>
        <v>0</v>
      </c>
      <c r="J38" s="39">
        <f>H38+I38</f>
        <v>0</v>
      </c>
      <c r="K38" s="27"/>
      <c r="L38" s="39">
        <f>SUM(L39:L40)</f>
        <v>1.0538843</v>
      </c>
      <c r="M38" s="27"/>
      <c r="Y38" s="27"/>
      <c r="AI38" s="39">
        <f>SUM(Z39:Z40)</f>
        <v>0</v>
      </c>
      <c r="AJ38" s="39">
        <f>SUM(AA39:AA40)</f>
        <v>0</v>
      </c>
      <c r="AK38" s="39">
        <f>SUM(AB39:AB40)</f>
        <v>0</v>
      </c>
    </row>
    <row r="39" spans="1:48" ht="12.75">
      <c r="A39" s="5" t="s">
        <v>24</v>
      </c>
      <c r="B39" s="5"/>
      <c r="C39" s="5" t="s">
        <v>86</v>
      </c>
      <c r="D39" s="5" t="s">
        <v>158</v>
      </c>
      <c r="E39" s="5" t="s">
        <v>207</v>
      </c>
      <c r="F39" s="18">
        <v>8.09</v>
      </c>
      <c r="G39" s="101">
        <v>0</v>
      </c>
      <c r="H39" s="18">
        <f>F39*AE39</f>
        <v>0</v>
      </c>
      <c r="I39" s="18">
        <f>J39-H39</f>
        <v>0</v>
      </c>
      <c r="J39" s="18">
        <f>F39*G39</f>
        <v>0</v>
      </c>
      <c r="K39" s="18">
        <v>0.00061</v>
      </c>
      <c r="L39" s="18">
        <f>F39*K39</f>
        <v>0.0049349</v>
      </c>
      <c r="M39" s="32" t="s">
        <v>229</v>
      </c>
      <c r="P39" s="36">
        <f>IF(AG39="5",J39,0)</f>
        <v>0</v>
      </c>
      <c r="R39" s="36">
        <f>IF(AG39="1",H39,0)</f>
        <v>0</v>
      </c>
      <c r="S39" s="36">
        <f>IF(AG39="1",I39,0)</f>
        <v>0</v>
      </c>
      <c r="T39" s="36">
        <f>IF(AG39="7",H39,0)</f>
        <v>0</v>
      </c>
      <c r="U39" s="36">
        <f>IF(AG39="7",I39,0)</f>
        <v>0</v>
      </c>
      <c r="V39" s="36">
        <f>IF(AG39="2",H39,0)</f>
        <v>0</v>
      </c>
      <c r="W39" s="36">
        <f>IF(AG39="2",I39,0)</f>
        <v>0</v>
      </c>
      <c r="X39" s="36">
        <f>IF(AG39="0",J39,0)</f>
        <v>0</v>
      </c>
      <c r="Y39" s="27"/>
      <c r="Z39" s="18">
        <f>IF(AD39=0,J39,0)</f>
        <v>0</v>
      </c>
      <c r="AA39" s="18">
        <f>IF(AD39=15,J39,0)</f>
        <v>0</v>
      </c>
      <c r="AB39" s="18">
        <f>IF(AD39=21,J39,0)</f>
        <v>0</v>
      </c>
      <c r="AD39" s="36">
        <v>21</v>
      </c>
      <c r="AE39" s="36">
        <f>G39*0.933346296296296</f>
        <v>0</v>
      </c>
      <c r="AF39" s="36">
        <f>G39*(1-0.933346296296296)</f>
        <v>0</v>
      </c>
      <c r="AG39" s="32" t="s">
        <v>7</v>
      </c>
      <c r="AM39" s="36">
        <f>F39*AE39</f>
        <v>0</v>
      </c>
      <c r="AN39" s="36">
        <f>F39*AF39</f>
        <v>0</v>
      </c>
      <c r="AO39" s="37" t="s">
        <v>250</v>
      </c>
      <c r="AP39" s="37" t="s">
        <v>259</v>
      </c>
      <c r="AQ39" s="27" t="s">
        <v>262</v>
      </c>
      <c r="AS39" s="36">
        <f>AM39+AN39</f>
        <v>0</v>
      </c>
      <c r="AT39" s="36">
        <f>G39/(100-AU39)*100</f>
        <v>0</v>
      </c>
      <c r="AU39" s="36">
        <v>0</v>
      </c>
      <c r="AV39" s="36">
        <f>L39</f>
        <v>0.0049349</v>
      </c>
    </row>
    <row r="40" spans="1:48" ht="12.75">
      <c r="A40" s="5" t="s">
        <v>25</v>
      </c>
      <c r="B40" s="5"/>
      <c r="C40" s="5" t="s">
        <v>87</v>
      </c>
      <c r="D40" s="5" t="s">
        <v>159</v>
      </c>
      <c r="E40" s="5" t="s">
        <v>207</v>
      </c>
      <c r="F40" s="18">
        <v>8.09</v>
      </c>
      <c r="G40" s="101">
        <v>0</v>
      </c>
      <c r="H40" s="18">
        <f>F40*AE40</f>
        <v>0</v>
      </c>
      <c r="I40" s="18">
        <f>J40-H40</f>
        <v>0</v>
      </c>
      <c r="J40" s="18">
        <f>F40*G40</f>
        <v>0</v>
      </c>
      <c r="K40" s="18">
        <v>0.12966</v>
      </c>
      <c r="L40" s="18">
        <f>F40*K40</f>
        <v>1.0489494</v>
      </c>
      <c r="M40" s="32" t="s">
        <v>229</v>
      </c>
      <c r="P40" s="36">
        <f>IF(AG40="5",J40,0)</f>
        <v>0</v>
      </c>
      <c r="R40" s="36">
        <f>IF(AG40="1",H40,0)</f>
        <v>0</v>
      </c>
      <c r="S40" s="36">
        <f>IF(AG40="1",I40,0)</f>
        <v>0</v>
      </c>
      <c r="T40" s="36">
        <f>IF(AG40="7",H40,0)</f>
        <v>0</v>
      </c>
      <c r="U40" s="36">
        <f>IF(AG40="7",I40,0)</f>
        <v>0</v>
      </c>
      <c r="V40" s="36">
        <f>IF(AG40="2",H40,0)</f>
        <v>0</v>
      </c>
      <c r="W40" s="36">
        <f>IF(AG40="2",I40,0)</f>
        <v>0</v>
      </c>
      <c r="X40" s="36">
        <f>IF(AG40="0",J40,0)</f>
        <v>0</v>
      </c>
      <c r="Y40" s="27"/>
      <c r="Z40" s="18">
        <f>IF(AD40=0,J40,0)</f>
        <v>0</v>
      </c>
      <c r="AA40" s="18">
        <f>IF(AD40=15,J40,0)</f>
        <v>0</v>
      </c>
      <c r="AB40" s="18">
        <f>IF(AD40=21,J40,0)</f>
        <v>0</v>
      </c>
      <c r="AD40" s="36">
        <v>21</v>
      </c>
      <c r="AE40" s="36">
        <f>G40*0.606520232621044</f>
        <v>0</v>
      </c>
      <c r="AF40" s="36">
        <f>G40*(1-0.606520232621044)</f>
        <v>0</v>
      </c>
      <c r="AG40" s="32" t="s">
        <v>7</v>
      </c>
      <c r="AM40" s="36">
        <f>F40*AE40</f>
        <v>0</v>
      </c>
      <c r="AN40" s="36">
        <f>F40*AF40</f>
        <v>0</v>
      </c>
      <c r="AO40" s="37" t="s">
        <v>250</v>
      </c>
      <c r="AP40" s="37" t="s">
        <v>259</v>
      </c>
      <c r="AQ40" s="27" t="s">
        <v>262</v>
      </c>
      <c r="AS40" s="36">
        <f>AM40+AN40</f>
        <v>0</v>
      </c>
      <c r="AT40" s="36">
        <f>G40/(100-AU40)*100</f>
        <v>0</v>
      </c>
      <c r="AU40" s="36">
        <v>0</v>
      </c>
      <c r="AV40" s="36">
        <f>L40</f>
        <v>1.0489494</v>
      </c>
    </row>
    <row r="41" spans="1:37" ht="12.75">
      <c r="A41" s="6"/>
      <c r="B41" s="14"/>
      <c r="C41" s="14" t="s">
        <v>88</v>
      </c>
      <c r="D41" s="14" t="s">
        <v>160</v>
      </c>
      <c r="E41" s="6" t="s">
        <v>6</v>
      </c>
      <c r="F41" s="6" t="s">
        <v>6</v>
      </c>
      <c r="G41" s="6"/>
      <c r="H41" s="39">
        <f>SUM(H42:H49)</f>
        <v>16695.36397631221</v>
      </c>
      <c r="I41" s="39">
        <f>SUM(I42:I49)</f>
        <v>16487.39602368779</v>
      </c>
      <c r="J41" s="39">
        <f>H41+I41</f>
        <v>33182.759999999995</v>
      </c>
      <c r="K41" s="27"/>
      <c r="L41" s="39">
        <f>SUM(L42:L49)</f>
        <v>7.443763</v>
      </c>
      <c r="M41" s="27"/>
      <c r="Y41" s="27"/>
      <c r="AI41" s="39">
        <f>SUM(Z42:Z49)</f>
        <v>0</v>
      </c>
      <c r="AJ41" s="39">
        <f>SUM(AA42:AA49)</f>
        <v>0</v>
      </c>
      <c r="AK41" s="39">
        <f>SUM(AB42:AB49)</f>
        <v>33182.76</v>
      </c>
    </row>
    <row r="42" spans="1:48" ht="12.75">
      <c r="A42" s="5" t="s">
        <v>26</v>
      </c>
      <c r="B42" s="5"/>
      <c r="C42" s="5" t="s">
        <v>89</v>
      </c>
      <c r="D42" s="5" t="s">
        <v>161</v>
      </c>
      <c r="E42" s="5" t="s">
        <v>207</v>
      </c>
      <c r="F42" s="18">
        <v>24.23</v>
      </c>
      <c r="G42" s="101">
        <v>479</v>
      </c>
      <c r="H42" s="18">
        <f aca="true" t="shared" si="0" ref="H42:H49">F42*AE42</f>
        <v>1979.6334800306024</v>
      </c>
      <c r="I42" s="18">
        <f aca="true" t="shared" si="1" ref="I42:I49">J42-H42</f>
        <v>9626.536519969397</v>
      </c>
      <c r="J42" s="18">
        <f aca="true" t="shared" si="2" ref="J42:J49">F42*G42</f>
        <v>11606.17</v>
      </c>
      <c r="K42" s="18">
        <v>0.0739</v>
      </c>
      <c r="L42" s="18">
        <f aca="true" t="shared" si="3" ref="L42:L49">F42*K42</f>
        <v>1.7905969999999998</v>
      </c>
      <c r="M42" s="32" t="s">
        <v>229</v>
      </c>
      <c r="P42" s="36">
        <f aca="true" t="shared" si="4" ref="P42:P49">IF(AG42="5",J42,0)</f>
        <v>0</v>
      </c>
      <c r="R42" s="36">
        <f aca="true" t="shared" si="5" ref="R42:R49">IF(AG42="1",H42,0)</f>
        <v>1979.6334800306024</v>
      </c>
      <c r="S42" s="36">
        <f aca="true" t="shared" si="6" ref="S42:S49">IF(AG42="1",I42,0)</f>
        <v>9626.536519969397</v>
      </c>
      <c r="T42" s="36">
        <f aca="true" t="shared" si="7" ref="T42:T49">IF(AG42="7",H42,0)</f>
        <v>0</v>
      </c>
      <c r="U42" s="36">
        <f aca="true" t="shared" si="8" ref="U42:U49">IF(AG42="7",I42,0)</f>
        <v>0</v>
      </c>
      <c r="V42" s="36">
        <f aca="true" t="shared" si="9" ref="V42:V49">IF(AG42="2",H42,0)</f>
        <v>0</v>
      </c>
      <c r="W42" s="36">
        <f aca="true" t="shared" si="10" ref="W42:W49">IF(AG42="2",I42,0)</f>
        <v>0</v>
      </c>
      <c r="X42" s="36">
        <f aca="true" t="shared" si="11" ref="X42:X49">IF(AG42="0",J42,0)</f>
        <v>0</v>
      </c>
      <c r="Y42" s="27"/>
      <c r="Z42" s="18">
        <f aca="true" t="shared" si="12" ref="Z42:Z49">IF(AD42=0,J42,0)</f>
        <v>0</v>
      </c>
      <c r="AA42" s="18">
        <f aca="true" t="shared" si="13" ref="AA42:AA49">IF(AD42=15,J42,0)</f>
        <v>0</v>
      </c>
      <c r="AB42" s="18">
        <f aca="true" t="shared" si="14" ref="AB42:AB49">IF(AD42=21,J42,0)</f>
        <v>11606.17</v>
      </c>
      <c r="AD42" s="36">
        <v>21</v>
      </c>
      <c r="AE42" s="36">
        <f>G42*0.170567334446299</f>
        <v>81.70175319977723</v>
      </c>
      <c r="AF42" s="36">
        <f>G42*(1-0.170567334446299)</f>
        <v>397.2982468002228</v>
      </c>
      <c r="AG42" s="32" t="s">
        <v>7</v>
      </c>
      <c r="AM42" s="36">
        <f aca="true" t="shared" si="15" ref="AM42:AM49">F42*AE42</f>
        <v>1979.6334800306024</v>
      </c>
      <c r="AN42" s="36">
        <f aca="true" t="shared" si="16" ref="AN42:AN49">F42*AF42</f>
        <v>9626.536519969399</v>
      </c>
      <c r="AO42" s="37" t="s">
        <v>251</v>
      </c>
      <c r="AP42" s="37" t="s">
        <v>259</v>
      </c>
      <c r="AQ42" s="27" t="s">
        <v>262</v>
      </c>
      <c r="AS42" s="36">
        <f aca="true" t="shared" si="17" ref="AS42:AS49">AM42+AN42</f>
        <v>11606.170000000002</v>
      </c>
      <c r="AT42" s="36">
        <f aca="true" t="shared" si="18" ref="AT42:AT49">G42/(100-AU42)*100</f>
        <v>479</v>
      </c>
      <c r="AU42" s="36">
        <v>0</v>
      </c>
      <c r="AV42" s="36">
        <f aca="true" t="shared" si="19" ref="AV42:AV49">L42</f>
        <v>1.7905969999999998</v>
      </c>
    </row>
    <row r="43" spans="1:48" ht="12.75">
      <c r="A43" s="7" t="s">
        <v>27</v>
      </c>
      <c r="B43" s="7"/>
      <c r="C43" s="7" t="s">
        <v>90</v>
      </c>
      <c r="D43" s="7" t="s">
        <v>162</v>
      </c>
      <c r="E43" s="7" t="s">
        <v>207</v>
      </c>
      <c r="F43" s="19">
        <v>1.58</v>
      </c>
      <c r="G43" s="102">
        <v>409</v>
      </c>
      <c r="H43" s="19">
        <f t="shared" si="0"/>
        <v>646.22</v>
      </c>
      <c r="I43" s="19">
        <f t="shared" si="1"/>
        <v>0</v>
      </c>
      <c r="J43" s="19">
        <f t="shared" si="2"/>
        <v>646.22</v>
      </c>
      <c r="K43" s="19">
        <v>0.188</v>
      </c>
      <c r="L43" s="19">
        <f t="shared" si="3"/>
        <v>0.29704</v>
      </c>
      <c r="M43" s="33" t="s">
        <v>229</v>
      </c>
      <c r="P43" s="36">
        <f t="shared" si="4"/>
        <v>0</v>
      </c>
      <c r="R43" s="36">
        <f t="shared" si="5"/>
        <v>646.22</v>
      </c>
      <c r="S43" s="36">
        <f t="shared" si="6"/>
        <v>0</v>
      </c>
      <c r="T43" s="36">
        <f t="shared" si="7"/>
        <v>0</v>
      </c>
      <c r="U43" s="36">
        <f t="shared" si="8"/>
        <v>0</v>
      </c>
      <c r="V43" s="36">
        <f t="shared" si="9"/>
        <v>0</v>
      </c>
      <c r="W43" s="36">
        <f t="shared" si="10"/>
        <v>0</v>
      </c>
      <c r="X43" s="36">
        <f t="shared" si="11"/>
        <v>0</v>
      </c>
      <c r="Y43" s="27"/>
      <c r="Z43" s="19">
        <f t="shared" si="12"/>
        <v>0</v>
      </c>
      <c r="AA43" s="19">
        <f t="shared" si="13"/>
        <v>0</v>
      </c>
      <c r="AB43" s="19">
        <f t="shared" si="14"/>
        <v>646.22</v>
      </c>
      <c r="AD43" s="36">
        <v>21</v>
      </c>
      <c r="AE43" s="36">
        <f>G43*1</f>
        <v>409</v>
      </c>
      <c r="AF43" s="36">
        <f>G43*(1-1)</f>
        <v>0</v>
      </c>
      <c r="AG43" s="33" t="s">
        <v>7</v>
      </c>
      <c r="AM43" s="36">
        <f t="shared" si="15"/>
        <v>646.22</v>
      </c>
      <c r="AN43" s="36">
        <f t="shared" si="16"/>
        <v>0</v>
      </c>
      <c r="AO43" s="37" t="s">
        <v>251</v>
      </c>
      <c r="AP43" s="37" t="s">
        <v>259</v>
      </c>
      <c r="AQ43" s="27" t="s">
        <v>262</v>
      </c>
      <c r="AS43" s="36">
        <f t="shared" si="17"/>
        <v>646.22</v>
      </c>
      <c r="AT43" s="36">
        <f t="shared" si="18"/>
        <v>409</v>
      </c>
      <c r="AU43" s="36">
        <v>0</v>
      </c>
      <c r="AV43" s="36">
        <f t="shared" si="19"/>
        <v>0.29704</v>
      </c>
    </row>
    <row r="44" spans="1:48" ht="12.75">
      <c r="A44" s="7" t="s">
        <v>28</v>
      </c>
      <c r="B44" s="7"/>
      <c r="C44" s="7" t="s">
        <v>91</v>
      </c>
      <c r="D44" s="7" t="s">
        <v>163</v>
      </c>
      <c r="E44" s="7" t="s">
        <v>207</v>
      </c>
      <c r="F44" s="19">
        <v>7.31</v>
      </c>
      <c r="G44" s="102">
        <v>673</v>
      </c>
      <c r="H44" s="19">
        <f t="shared" si="0"/>
        <v>4919.63</v>
      </c>
      <c r="I44" s="19">
        <f t="shared" si="1"/>
        <v>0</v>
      </c>
      <c r="J44" s="19">
        <f t="shared" si="2"/>
        <v>4919.63</v>
      </c>
      <c r="K44" s="19">
        <v>0.131</v>
      </c>
      <c r="L44" s="19">
        <f t="shared" si="3"/>
        <v>0.95761</v>
      </c>
      <c r="M44" s="33" t="s">
        <v>229</v>
      </c>
      <c r="P44" s="36">
        <f t="shared" si="4"/>
        <v>0</v>
      </c>
      <c r="R44" s="36">
        <f t="shared" si="5"/>
        <v>4919.63</v>
      </c>
      <c r="S44" s="36">
        <f t="shared" si="6"/>
        <v>0</v>
      </c>
      <c r="T44" s="36">
        <f t="shared" si="7"/>
        <v>0</v>
      </c>
      <c r="U44" s="36">
        <f t="shared" si="8"/>
        <v>0</v>
      </c>
      <c r="V44" s="36">
        <f t="shared" si="9"/>
        <v>0</v>
      </c>
      <c r="W44" s="36">
        <f t="shared" si="10"/>
        <v>0</v>
      </c>
      <c r="X44" s="36">
        <f t="shared" si="11"/>
        <v>0</v>
      </c>
      <c r="Y44" s="27"/>
      <c r="Z44" s="19">
        <f t="shared" si="12"/>
        <v>0</v>
      </c>
      <c r="AA44" s="19">
        <f t="shared" si="13"/>
        <v>0</v>
      </c>
      <c r="AB44" s="19">
        <f t="shared" si="14"/>
        <v>4919.63</v>
      </c>
      <c r="AD44" s="36">
        <v>21</v>
      </c>
      <c r="AE44" s="36">
        <f>G44*1</f>
        <v>673</v>
      </c>
      <c r="AF44" s="36">
        <f>G44*(1-1)</f>
        <v>0</v>
      </c>
      <c r="AG44" s="33" t="s">
        <v>7</v>
      </c>
      <c r="AM44" s="36">
        <f t="shared" si="15"/>
        <v>4919.63</v>
      </c>
      <c r="AN44" s="36">
        <f t="shared" si="16"/>
        <v>0</v>
      </c>
      <c r="AO44" s="37" t="s">
        <v>251</v>
      </c>
      <c r="AP44" s="37" t="s">
        <v>259</v>
      </c>
      <c r="AQ44" s="27" t="s">
        <v>262</v>
      </c>
      <c r="AS44" s="36">
        <f t="shared" si="17"/>
        <v>4919.63</v>
      </c>
      <c r="AT44" s="36">
        <f t="shared" si="18"/>
        <v>673</v>
      </c>
      <c r="AU44" s="36">
        <v>0</v>
      </c>
      <c r="AV44" s="36">
        <f t="shared" si="19"/>
        <v>0.95761</v>
      </c>
    </row>
    <row r="45" spans="1:48" ht="12.75">
      <c r="A45" s="7" t="s">
        <v>29</v>
      </c>
      <c r="B45" s="7"/>
      <c r="C45" s="7" t="s">
        <v>92</v>
      </c>
      <c r="D45" s="7" t="s">
        <v>164</v>
      </c>
      <c r="E45" s="7" t="s">
        <v>207</v>
      </c>
      <c r="F45" s="19">
        <v>0.18</v>
      </c>
      <c r="G45" s="102">
        <v>409</v>
      </c>
      <c r="H45" s="19">
        <f t="shared" si="0"/>
        <v>73.61999999999999</v>
      </c>
      <c r="I45" s="19">
        <f t="shared" si="1"/>
        <v>0</v>
      </c>
      <c r="J45" s="19">
        <f t="shared" si="2"/>
        <v>73.61999999999999</v>
      </c>
      <c r="K45" s="19">
        <v>0.188</v>
      </c>
      <c r="L45" s="19">
        <f t="shared" si="3"/>
        <v>0.03384</v>
      </c>
      <c r="M45" s="33" t="s">
        <v>229</v>
      </c>
      <c r="P45" s="36">
        <f t="shared" si="4"/>
        <v>0</v>
      </c>
      <c r="R45" s="36">
        <f t="shared" si="5"/>
        <v>73.61999999999999</v>
      </c>
      <c r="S45" s="36">
        <f t="shared" si="6"/>
        <v>0</v>
      </c>
      <c r="T45" s="36">
        <f t="shared" si="7"/>
        <v>0</v>
      </c>
      <c r="U45" s="36">
        <f t="shared" si="8"/>
        <v>0</v>
      </c>
      <c r="V45" s="36">
        <f t="shared" si="9"/>
        <v>0</v>
      </c>
      <c r="W45" s="36">
        <f t="shared" si="10"/>
        <v>0</v>
      </c>
      <c r="X45" s="36">
        <f t="shared" si="11"/>
        <v>0</v>
      </c>
      <c r="Y45" s="27"/>
      <c r="Z45" s="19">
        <f t="shared" si="12"/>
        <v>0</v>
      </c>
      <c r="AA45" s="19">
        <f t="shared" si="13"/>
        <v>0</v>
      </c>
      <c r="AB45" s="19">
        <f t="shared" si="14"/>
        <v>73.61999999999999</v>
      </c>
      <c r="AD45" s="36">
        <v>21</v>
      </c>
      <c r="AE45" s="36">
        <f>G45*1</f>
        <v>409</v>
      </c>
      <c r="AF45" s="36">
        <f>G45*(1-1)</f>
        <v>0</v>
      </c>
      <c r="AG45" s="33" t="s">
        <v>7</v>
      </c>
      <c r="AM45" s="36">
        <f t="shared" si="15"/>
        <v>73.61999999999999</v>
      </c>
      <c r="AN45" s="36">
        <f t="shared" si="16"/>
        <v>0</v>
      </c>
      <c r="AO45" s="37" t="s">
        <v>251</v>
      </c>
      <c r="AP45" s="37" t="s">
        <v>259</v>
      </c>
      <c r="AQ45" s="27" t="s">
        <v>262</v>
      </c>
      <c r="AS45" s="36">
        <f t="shared" si="17"/>
        <v>73.61999999999999</v>
      </c>
      <c r="AT45" s="36">
        <f t="shared" si="18"/>
        <v>409</v>
      </c>
      <c r="AU45" s="36">
        <v>0</v>
      </c>
      <c r="AV45" s="36">
        <f t="shared" si="19"/>
        <v>0.03384</v>
      </c>
    </row>
    <row r="46" spans="1:48" ht="12.75">
      <c r="A46" s="5" t="s">
        <v>30</v>
      </c>
      <c r="B46" s="5"/>
      <c r="C46" s="5" t="s">
        <v>93</v>
      </c>
      <c r="D46" s="5" t="s">
        <v>165</v>
      </c>
      <c r="E46" s="5" t="s">
        <v>207</v>
      </c>
      <c r="F46" s="18">
        <v>17.24</v>
      </c>
      <c r="G46" s="101">
        <v>475</v>
      </c>
      <c r="H46" s="18">
        <f t="shared" si="0"/>
        <v>1328.1404962816055</v>
      </c>
      <c r="I46" s="18">
        <f t="shared" si="1"/>
        <v>6860.859503718393</v>
      </c>
      <c r="J46" s="18">
        <f t="shared" si="2"/>
        <v>8188.999999999999</v>
      </c>
      <c r="K46" s="18">
        <v>0.0739</v>
      </c>
      <c r="L46" s="18">
        <f t="shared" si="3"/>
        <v>1.2740359999999997</v>
      </c>
      <c r="M46" s="32" t="s">
        <v>229</v>
      </c>
      <c r="P46" s="36">
        <f t="shared" si="4"/>
        <v>0</v>
      </c>
      <c r="R46" s="36">
        <f t="shared" si="5"/>
        <v>1328.1404962816055</v>
      </c>
      <c r="S46" s="36">
        <f t="shared" si="6"/>
        <v>6860.859503718393</v>
      </c>
      <c r="T46" s="36">
        <f t="shared" si="7"/>
        <v>0</v>
      </c>
      <c r="U46" s="36">
        <f t="shared" si="8"/>
        <v>0</v>
      </c>
      <c r="V46" s="36">
        <f t="shared" si="9"/>
        <v>0</v>
      </c>
      <c r="W46" s="36">
        <f t="shared" si="10"/>
        <v>0</v>
      </c>
      <c r="X46" s="36">
        <f t="shared" si="11"/>
        <v>0</v>
      </c>
      <c r="Y46" s="27"/>
      <c r="Z46" s="18">
        <f t="shared" si="12"/>
        <v>0</v>
      </c>
      <c r="AA46" s="18">
        <f t="shared" si="13"/>
        <v>0</v>
      </c>
      <c r="AB46" s="18">
        <f t="shared" si="14"/>
        <v>8188.999999999999</v>
      </c>
      <c r="AD46" s="36">
        <v>21</v>
      </c>
      <c r="AE46" s="36">
        <f>G46*0.162185919682697</f>
        <v>77.03831184928107</v>
      </c>
      <c r="AF46" s="36">
        <f>G46*(1-0.162185919682697)</f>
        <v>397.96168815071894</v>
      </c>
      <c r="AG46" s="32" t="s">
        <v>7</v>
      </c>
      <c r="AM46" s="36">
        <f t="shared" si="15"/>
        <v>1328.1404962816055</v>
      </c>
      <c r="AN46" s="36">
        <f t="shared" si="16"/>
        <v>6860.859503718394</v>
      </c>
      <c r="AO46" s="37" t="s">
        <v>251</v>
      </c>
      <c r="AP46" s="37" t="s">
        <v>259</v>
      </c>
      <c r="AQ46" s="27" t="s">
        <v>262</v>
      </c>
      <c r="AS46" s="36">
        <f t="shared" si="17"/>
        <v>8189</v>
      </c>
      <c r="AT46" s="36">
        <f t="shared" si="18"/>
        <v>475</v>
      </c>
      <c r="AU46" s="36">
        <v>0</v>
      </c>
      <c r="AV46" s="36">
        <f t="shared" si="19"/>
        <v>1.2740359999999997</v>
      </c>
    </row>
    <row r="47" spans="1:48" ht="12.75">
      <c r="A47" s="7" t="s">
        <v>31</v>
      </c>
      <c r="B47" s="7"/>
      <c r="C47" s="7" t="s">
        <v>94</v>
      </c>
      <c r="D47" s="7" t="s">
        <v>166</v>
      </c>
      <c r="E47" s="7" t="s">
        <v>207</v>
      </c>
      <c r="F47" s="19">
        <v>13.14</v>
      </c>
      <c r="G47" s="102">
        <v>409</v>
      </c>
      <c r="H47" s="19">
        <f t="shared" si="0"/>
        <v>5374.26</v>
      </c>
      <c r="I47" s="19">
        <f t="shared" si="1"/>
        <v>0</v>
      </c>
      <c r="J47" s="19">
        <f t="shared" si="2"/>
        <v>5374.26</v>
      </c>
      <c r="K47" s="19">
        <v>0.188</v>
      </c>
      <c r="L47" s="19">
        <f t="shared" si="3"/>
        <v>2.47032</v>
      </c>
      <c r="M47" s="33" t="s">
        <v>229</v>
      </c>
      <c r="P47" s="36">
        <f t="shared" si="4"/>
        <v>0</v>
      </c>
      <c r="R47" s="36">
        <f t="shared" si="5"/>
        <v>5374.26</v>
      </c>
      <c r="S47" s="36">
        <f t="shared" si="6"/>
        <v>0</v>
      </c>
      <c r="T47" s="36">
        <f t="shared" si="7"/>
        <v>0</v>
      </c>
      <c r="U47" s="36">
        <f t="shared" si="8"/>
        <v>0</v>
      </c>
      <c r="V47" s="36">
        <f t="shared" si="9"/>
        <v>0</v>
      </c>
      <c r="W47" s="36">
        <f t="shared" si="10"/>
        <v>0</v>
      </c>
      <c r="X47" s="36">
        <f t="shared" si="11"/>
        <v>0</v>
      </c>
      <c r="Y47" s="27"/>
      <c r="Z47" s="19">
        <f t="shared" si="12"/>
        <v>0</v>
      </c>
      <c r="AA47" s="19">
        <f t="shared" si="13"/>
        <v>0</v>
      </c>
      <c r="AB47" s="19">
        <f t="shared" si="14"/>
        <v>5374.26</v>
      </c>
      <c r="AD47" s="36">
        <v>21</v>
      </c>
      <c r="AE47" s="36">
        <f>G47*1</f>
        <v>409</v>
      </c>
      <c r="AF47" s="36">
        <f>G47*(1-1)</f>
        <v>0</v>
      </c>
      <c r="AG47" s="33" t="s">
        <v>7</v>
      </c>
      <c r="AM47" s="36">
        <f t="shared" si="15"/>
        <v>5374.26</v>
      </c>
      <c r="AN47" s="36">
        <f t="shared" si="16"/>
        <v>0</v>
      </c>
      <c r="AO47" s="37" t="s">
        <v>251</v>
      </c>
      <c r="AP47" s="37" t="s">
        <v>259</v>
      </c>
      <c r="AQ47" s="27" t="s">
        <v>262</v>
      </c>
      <c r="AS47" s="36">
        <f t="shared" si="17"/>
        <v>5374.26</v>
      </c>
      <c r="AT47" s="36">
        <f t="shared" si="18"/>
        <v>409</v>
      </c>
      <c r="AU47" s="36">
        <v>0</v>
      </c>
      <c r="AV47" s="36">
        <f t="shared" si="19"/>
        <v>2.47032</v>
      </c>
    </row>
    <row r="48" spans="1:48" ht="12.75">
      <c r="A48" s="7" t="s">
        <v>32</v>
      </c>
      <c r="B48" s="7"/>
      <c r="C48" s="7" t="s">
        <v>92</v>
      </c>
      <c r="D48" s="7" t="s">
        <v>164</v>
      </c>
      <c r="E48" s="7" t="s">
        <v>207</v>
      </c>
      <c r="F48" s="19">
        <v>1.46</v>
      </c>
      <c r="G48" s="102">
        <v>409</v>
      </c>
      <c r="H48" s="19">
        <f t="shared" si="0"/>
        <v>597.14</v>
      </c>
      <c r="I48" s="19">
        <f t="shared" si="1"/>
        <v>0</v>
      </c>
      <c r="J48" s="19">
        <f t="shared" si="2"/>
        <v>597.14</v>
      </c>
      <c r="K48" s="19">
        <v>0.188</v>
      </c>
      <c r="L48" s="19">
        <f t="shared" si="3"/>
        <v>0.27448</v>
      </c>
      <c r="M48" s="33" t="s">
        <v>229</v>
      </c>
      <c r="P48" s="36">
        <f t="shared" si="4"/>
        <v>0</v>
      </c>
      <c r="R48" s="36">
        <f t="shared" si="5"/>
        <v>597.14</v>
      </c>
      <c r="S48" s="36">
        <f t="shared" si="6"/>
        <v>0</v>
      </c>
      <c r="T48" s="36">
        <f t="shared" si="7"/>
        <v>0</v>
      </c>
      <c r="U48" s="36">
        <f t="shared" si="8"/>
        <v>0</v>
      </c>
      <c r="V48" s="36">
        <f t="shared" si="9"/>
        <v>0</v>
      </c>
      <c r="W48" s="36">
        <f t="shared" si="10"/>
        <v>0</v>
      </c>
      <c r="X48" s="36">
        <f t="shared" si="11"/>
        <v>0</v>
      </c>
      <c r="Y48" s="27"/>
      <c r="Z48" s="19">
        <f t="shared" si="12"/>
        <v>0</v>
      </c>
      <c r="AA48" s="19">
        <f t="shared" si="13"/>
        <v>0</v>
      </c>
      <c r="AB48" s="19">
        <f t="shared" si="14"/>
        <v>597.14</v>
      </c>
      <c r="AD48" s="36">
        <v>21</v>
      </c>
      <c r="AE48" s="36">
        <f>G48*1</f>
        <v>409</v>
      </c>
      <c r="AF48" s="36">
        <f>G48*(1-1)</f>
        <v>0</v>
      </c>
      <c r="AG48" s="33" t="s">
        <v>7</v>
      </c>
      <c r="AM48" s="36">
        <f t="shared" si="15"/>
        <v>597.14</v>
      </c>
      <c r="AN48" s="36">
        <f t="shared" si="16"/>
        <v>0</v>
      </c>
      <c r="AO48" s="37" t="s">
        <v>251</v>
      </c>
      <c r="AP48" s="37" t="s">
        <v>259</v>
      </c>
      <c r="AQ48" s="27" t="s">
        <v>262</v>
      </c>
      <c r="AS48" s="36">
        <f t="shared" si="17"/>
        <v>597.14</v>
      </c>
      <c r="AT48" s="36">
        <f t="shared" si="18"/>
        <v>409</v>
      </c>
      <c r="AU48" s="36">
        <v>0</v>
      </c>
      <c r="AV48" s="36">
        <f t="shared" si="19"/>
        <v>0.27448</v>
      </c>
    </row>
    <row r="49" spans="1:48" ht="12.75">
      <c r="A49" s="7" t="s">
        <v>33</v>
      </c>
      <c r="B49" s="7"/>
      <c r="C49" s="7" t="s">
        <v>91</v>
      </c>
      <c r="D49" s="7" t="s">
        <v>163</v>
      </c>
      <c r="E49" s="7" t="s">
        <v>207</v>
      </c>
      <c r="F49" s="19">
        <v>2.64</v>
      </c>
      <c r="G49" s="102">
        <v>673</v>
      </c>
      <c r="H49" s="19">
        <f t="shared" si="0"/>
        <v>1776.72</v>
      </c>
      <c r="I49" s="19">
        <f t="shared" si="1"/>
        <v>0</v>
      </c>
      <c r="J49" s="19">
        <f t="shared" si="2"/>
        <v>1776.72</v>
      </c>
      <c r="K49" s="19">
        <v>0.131</v>
      </c>
      <c r="L49" s="19">
        <f t="shared" si="3"/>
        <v>0.34584000000000004</v>
      </c>
      <c r="M49" s="33" t="s">
        <v>229</v>
      </c>
      <c r="P49" s="36">
        <f t="shared" si="4"/>
        <v>0</v>
      </c>
      <c r="R49" s="36">
        <f t="shared" si="5"/>
        <v>1776.72</v>
      </c>
      <c r="S49" s="36">
        <f t="shared" si="6"/>
        <v>0</v>
      </c>
      <c r="T49" s="36">
        <f t="shared" si="7"/>
        <v>0</v>
      </c>
      <c r="U49" s="36">
        <f t="shared" si="8"/>
        <v>0</v>
      </c>
      <c r="V49" s="36">
        <f t="shared" si="9"/>
        <v>0</v>
      </c>
      <c r="W49" s="36">
        <f t="shared" si="10"/>
        <v>0</v>
      </c>
      <c r="X49" s="36">
        <f t="shared" si="11"/>
        <v>0</v>
      </c>
      <c r="Y49" s="27"/>
      <c r="Z49" s="19">
        <f t="shared" si="12"/>
        <v>0</v>
      </c>
      <c r="AA49" s="19">
        <f t="shared" si="13"/>
        <v>0</v>
      </c>
      <c r="AB49" s="19">
        <f t="shared" si="14"/>
        <v>1776.72</v>
      </c>
      <c r="AD49" s="36">
        <v>21</v>
      </c>
      <c r="AE49" s="36">
        <f>G49*1</f>
        <v>673</v>
      </c>
      <c r="AF49" s="36">
        <f>G49*(1-1)</f>
        <v>0</v>
      </c>
      <c r="AG49" s="33" t="s">
        <v>7</v>
      </c>
      <c r="AM49" s="36">
        <f t="shared" si="15"/>
        <v>1776.72</v>
      </c>
      <c r="AN49" s="36">
        <f t="shared" si="16"/>
        <v>0</v>
      </c>
      <c r="AO49" s="37" t="s">
        <v>251</v>
      </c>
      <c r="AP49" s="37" t="s">
        <v>259</v>
      </c>
      <c r="AQ49" s="27" t="s">
        <v>262</v>
      </c>
      <c r="AS49" s="36">
        <f t="shared" si="17"/>
        <v>1776.72</v>
      </c>
      <c r="AT49" s="36">
        <f t="shared" si="18"/>
        <v>673</v>
      </c>
      <c r="AU49" s="36">
        <v>0</v>
      </c>
      <c r="AV49" s="36">
        <f t="shared" si="19"/>
        <v>0.34584000000000004</v>
      </c>
    </row>
    <row r="50" spans="1:37" ht="12.75">
      <c r="A50" s="6"/>
      <c r="B50" s="14"/>
      <c r="C50" s="14" t="s">
        <v>95</v>
      </c>
      <c r="D50" s="14" t="s">
        <v>167</v>
      </c>
      <c r="E50" s="6" t="s">
        <v>6</v>
      </c>
      <c r="F50" s="6" t="s">
        <v>6</v>
      </c>
      <c r="G50" s="6"/>
      <c r="H50" s="39">
        <f>SUM(H51:H52)</f>
        <v>619.8873357074651</v>
      </c>
      <c r="I50" s="39">
        <f>SUM(I51:I52)</f>
        <v>607.4926642925348</v>
      </c>
      <c r="J50" s="39">
        <f>H50+I50</f>
        <v>1227.3799999999999</v>
      </c>
      <c r="K50" s="27"/>
      <c r="L50" s="39">
        <f>SUM(L51:L52)</f>
        <v>0.001594</v>
      </c>
      <c r="M50" s="27"/>
      <c r="Y50" s="27"/>
      <c r="AI50" s="39">
        <f>SUM(Z51:Z52)</f>
        <v>0</v>
      </c>
      <c r="AJ50" s="39">
        <f>SUM(AA51:AA52)</f>
        <v>0</v>
      </c>
      <c r="AK50" s="39">
        <f>SUM(AB51:AB52)</f>
        <v>1227.3799999999999</v>
      </c>
    </row>
    <row r="51" spans="1:48" ht="12.75">
      <c r="A51" s="5" t="s">
        <v>34</v>
      </c>
      <c r="B51" s="5"/>
      <c r="C51" s="5" t="s">
        <v>96</v>
      </c>
      <c r="D51" s="5" t="s">
        <v>168</v>
      </c>
      <c r="E51" s="5" t="s">
        <v>207</v>
      </c>
      <c r="F51" s="18">
        <v>7.97</v>
      </c>
      <c r="G51" s="101">
        <v>95</v>
      </c>
      <c r="H51" s="18">
        <f>F51*AE51</f>
        <v>149.65733570746517</v>
      </c>
      <c r="I51" s="18">
        <f>J51-H51</f>
        <v>607.4926642925348</v>
      </c>
      <c r="J51" s="18">
        <f>F51*G51</f>
        <v>757.15</v>
      </c>
      <c r="K51" s="18">
        <v>0</v>
      </c>
      <c r="L51" s="18">
        <f>F51*K51</f>
        <v>0</v>
      </c>
      <c r="M51" s="32" t="s">
        <v>229</v>
      </c>
      <c r="P51" s="36">
        <f>IF(AG51="5",J51,0)</f>
        <v>0</v>
      </c>
      <c r="R51" s="36">
        <f>IF(AG51="1",H51,0)</f>
        <v>0</v>
      </c>
      <c r="S51" s="36">
        <f>IF(AG51="1",I51,0)</f>
        <v>0</v>
      </c>
      <c r="T51" s="36">
        <f>IF(AG51="7",H51,0)</f>
        <v>149.65733570746517</v>
      </c>
      <c r="U51" s="36">
        <f>IF(AG51="7",I51,0)</f>
        <v>607.4926642925348</v>
      </c>
      <c r="V51" s="36">
        <f>IF(AG51="2",H51,0)</f>
        <v>0</v>
      </c>
      <c r="W51" s="36">
        <f>IF(AG51="2",I51,0)</f>
        <v>0</v>
      </c>
      <c r="X51" s="36">
        <f>IF(AG51="0",J51,0)</f>
        <v>0</v>
      </c>
      <c r="Y51" s="27"/>
      <c r="Z51" s="18">
        <f>IF(AD51=0,J51,0)</f>
        <v>0</v>
      </c>
      <c r="AA51" s="18">
        <f>IF(AD51=15,J51,0)</f>
        <v>0</v>
      </c>
      <c r="AB51" s="18">
        <f>IF(AD51=21,J51,0)</f>
        <v>757.15</v>
      </c>
      <c r="AD51" s="36">
        <v>21</v>
      </c>
      <c r="AE51" s="36">
        <f>G51*0.197658767361111</f>
        <v>18.777582899305543</v>
      </c>
      <c r="AF51" s="36">
        <f>G51*(1-0.197658767361111)</f>
        <v>76.22241710069446</v>
      </c>
      <c r="AG51" s="32" t="s">
        <v>13</v>
      </c>
      <c r="AM51" s="36">
        <f>F51*AE51</f>
        <v>149.65733570746517</v>
      </c>
      <c r="AN51" s="36">
        <f>F51*AF51</f>
        <v>607.4926642925348</v>
      </c>
      <c r="AO51" s="37" t="s">
        <v>252</v>
      </c>
      <c r="AP51" s="37" t="s">
        <v>260</v>
      </c>
      <c r="AQ51" s="27" t="s">
        <v>262</v>
      </c>
      <c r="AS51" s="36">
        <f>AM51+AN51</f>
        <v>757.1499999999999</v>
      </c>
      <c r="AT51" s="36">
        <f>G51/(100-AU51)*100</f>
        <v>95</v>
      </c>
      <c r="AU51" s="36">
        <v>0</v>
      </c>
      <c r="AV51" s="36">
        <f>L51</f>
        <v>0</v>
      </c>
    </row>
    <row r="52" spans="1:48" ht="12.75">
      <c r="A52" s="7" t="s">
        <v>35</v>
      </c>
      <c r="B52" s="7"/>
      <c r="C52" s="7" t="s">
        <v>97</v>
      </c>
      <c r="D52" s="7" t="s">
        <v>169</v>
      </c>
      <c r="E52" s="7" t="s">
        <v>207</v>
      </c>
      <c r="F52" s="19">
        <v>7.97</v>
      </c>
      <c r="G52" s="102">
        <v>59</v>
      </c>
      <c r="H52" s="19">
        <f>F52*AE52</f>
        <v>470.22999999999996</v>
      </c>
      <c r="I52" s="19">
        <f>J52-H52</f>
        <v>0</v>
      </c>
      <c r="J52" s="19">
        <f>F52*G52</f>
        <v>470.22999999999996</v>
      </c>
      <c r="K52" s="19">
        <v>0.0002</v>
      </c>
      <c r="L52" s="19">
        <f>F52*K52</f>
        <v>0.001594</v>
      </c>
      <c r="M52" s="33" t="s">
        <v>229</v>
      </c>
      <c r="P52" s="36">
        <f>IF(AG52="5",J52,0)</f>
        <v>0</v>
      </c>
      <c r="R52" s="36">
        <f>IF(AG52="1",H52,0)</f>
        <v>0</v>
      </c>
      <c r="S52" s="36">
        <f>IF(AG52="1",I52,0)</f>
        <v>0</v>
      </c>
      <c r="T52" s="36">
        <f>IF(AG52="7",H52,0)</f>
        <v>470.22999999999996</v>
      </c>
      <c r="U52" s="36">
        <f>IF(AG52="7",I52,0)</f>
        <v>0</v>
      </c>
      <c r="V52" s="36">
        <f>IF(AG52="2",H52,0)</f>
        <v>0</v>
      </c>
      <c r="W52" s="36">
        <f>IF(AG52="2",I52,0)</f>
        <v>0</v>
      </c>
      <c r="X52" s="36">
        <f>IF(AG52="0",J52,0)</f>
        <v>0</v>
      </c>
      <c r="Y52" s="27"/>
      <c r="Z52" s="19">
        <f>IF(AD52=0,J52,0)</f>
        <v>0</v>
      </c>
      <c r="AA52" s="19">
        <f>IF(AD52=15,J52,0)</f>
        <v>0</v>
      </c>
      <c r="AB52" s="19">
        <f>IF(AD52=21,J52,0)</f>
        <v>470.22999999999996</v>
      </c>
      <c r="AD52" s="36">
        <v>21</v>
      </c>
      <c r="AE52" s="36">
        <f>G52*1</f>
        <v>59</v>
      </c>
      <c r="AF52" s="36">
        <f>G52*(1-1)</f>
        <v>0</v>
      </c>
      <c r="AG52" s="33" t="s">
        <v>13</v>
      </c>
      <c r="AM52" s="36">
        <f>F52*AE52</f>
        <v>470.22999999999996</v>
      </c>
      <c r="AN52" s="36">
        <f>F52*AF52</f>
        <v>0</v>
      </c>
      <c r="AO52" s="37" t="s">
        <v>252</v>
      </c>
      <c r="AP52" s="37" t="s">
        <v>260</v>
      </c>
      <c r="AQ52" s="27" t="s">
        <v>262</v>
      </c>
      <c r="AS52" s="36">
        <f>AM52+AN52</f>
        <v>470.22999999999996</v>
      </c>
      <c r="AT52" s="36">
        <f>G52/(100-AU52)*100</f>
        <v>59</v>
      </c>
      <c r="AU52" s="36">
        <v>0</v>
      </c>
      <c r="AV52" s="36">
        <f>L52</f>
        <v>0.001594</v>
      </c>
    </row>
    <row r="53" spans="1:37" ht="12.75">
      <c r="A53" s="6"/>
      <c r="B53" s="14"/>
      <c r="C53" s="14" t="s">
        <v>98</v>
      </c>
      <c r="D53" s="14" t="s">
        <v>170</v>
      </c>
      <c r="E53" s="6" t="s">
        <v>6</v>
      </c>
      <c r="F53" s="6" t="s">
        <v>6</v>
      </c>
      <c r="G53" s="6"/>
      <c r="H53" s="39">
        <f>SUM(H54:H66)</f>
        <v>29141.99615181209</v>
      </c>
      <c r="I53" s="39">
        <f>SUM(I54:I66)</f>
        <v>13234.003848187911</v>
      </c>
      <c r="J53" s="39">
        <f>H53+I53</f>
        <v>42376</v>
      </c>
      <c r="K53" s="27"/>
      <c r="L53" s="39">
        <f>SUM(L54:L66)</f>
        <v>5.207409999999999</v>
      </c>
      <c r="M53" s="27"/>
      <c r="Y53" s="27"/>
      <c r="AI53" s="39">
        <f>SUM(Z54:Z66)</f>
        <v>0</v>
      </c>
      <c r="AJ53" s="39">
        <f>SUM(AA54:AA66)</f>
        <v>0</v>
      </c>
      <c r="AK53" s="39">
        <f>SUM(AB54:AB66)</f>
        <v>42376</v>
      </c>
    </row>
    <row r="54" spans="1:48" ht="12.75">
      <c r="A54" s="5" t="s">
        <v>36</v>
      </c>
      <c r="B54" s="5"/>
      <c r="C54" s="5" t="s">
        <v>99</v>
      </c>
      <c r="D54" s="5" t="s">
        <v>171</v>
      </c>
      <c r="E54" s="5" t="s">
        <v>206</v>
      </c>
      <c r="F54" s="18">
        <v>18</v>
      </c>
      <c r="G54" s="101">
        <v>866</v>
      </c>
      <c r="H54" s="18">
        <f aca="true" t="shared" si="20" ref="H54:H66">F54*AE54</f>
        <v>7714.992328767121</v>
      </c>
      <c r="I54" s="18">
        <f aca="true" t="shared" si="21" ref="I54:I66">J54-H54</f>
        <v>7873.007671232879</v>
      </c>
      <c r="J54" s="18">
        <f aca="true" t="shared" si="22" ref="J54:J66">F54*G54</f>
        <v>15588</v>
      </c>
      <c r="K54" s="18">
        <v>0.18806</v>
      </c>
      <c r="L54" s="18">
        <f aca="true" t="shared" si="23" ref="L54:L66">F54*K54</f>
        <v>3.3850800000000003</v>
      </c>
      <c r="M54" s="32" t="s">
        <v>229</v>
      </c>
      <c r="P54" s="36">
        <f aca="true" t="shared" si="24" ref="P54:P66">IF(AG54="5",J54,0)</f>
        <v>0</v>
      </c>
      <c r="R54" s="36">
        <f aca="true" t="shared" si="25" ref="R54:R66">IF(AG54="1",H54,0)</f>
        <v>7714.992328767121</v>
      </c>
      <c r="S54" s="36">
        <f aca="true" t="shared" si="26" ref="S54:S66">IF(AG54="1",I54,0)</f>
        <v>7873.007671232879</v>
      </c>
      <c r="T54" s="36">
        <f aca="true" t="shared" si="27" ref="T54:T66">IF(AG54="7",H54,0)</f>
        <v>0</v>
      </c>
      <c r="U54" s="36">
        <f aca="true" t="shared" si="28" ref="U54:U66">IF(AG54="7",I54,0)</f>
        <v>0</v>
      </c>
      <c r="V54" s="36">
        <f aca="true" t="shared" si="29" ref="V54:V66">IF(AG54="2",H54,0)</f>
        <v>0</v>
      </c>
      <c r="W54" s="36">
        <f aca="true" t="shared" si="30" ref="W54:W66">IF(AG54="2",I54,0)</f>
        <v>0</v>
      </c>
      <c r="X54" s="36">
        <f aca="true" t="shared" si="31" ref="X54:X66">IF(AG54="0",J54,0)</f>
        <v>0</v>
      </c>
      <c r="Y54" s="27"/>
      <c r="Z54" s="18">
        <f aca="true" t="shared" si="32" ref="Z54:Z66">IF(AD54=0,J54,0)</f>
        <v>0</v>
      </c>
      <c r="AA54" s="18">
        <f aca="true" t="shared" si="33" ref="AA54:AA66">IF(AD54=15,J54,0)</f>
        <v>0</v>
      </c>
      <c r="AB54" s="18">
        <f aca="true" t="shared" si="34" ref="AB54:AB66">IF(AD54=21,J54,0)</f>
        <v>15588</v>
      </c>
      <c r="AD54" s="36">
        <v>21</v>
      </c>
      <c r="AE54" s="36">
        <f>G54*0.494931506849315</f>
        <v>428.61068493150674</v>
      </c>
      <c r="AF54" s="36">
        <f>G54*(1-0.494931506849315)</f>
        <v>437.38931506849326</v>
      </c>
      <c r="AG54" s="32" t="s">
        <v>7</v>
      </c>
      <c r="AM54" s="36">
        <f aca="true" t="shared" si="35" ref="AM54:AM66">F54*AE54</f>
        <v>7714.992328767121</v>
      </c>
      <c r="AN54" s="36">
        <f aca="true" t="shared" si="36" ref="AN54:AN66">F54*AF54</f>
        <v>7873.007671232879</v>
      </c>
      <c r="AO54" s="37" t="s">
        <v>253</v>
      </c>
      <c r="AP54" s="37" t="s">
        <v>261</v>
      </c>
      <c r="AQ54" s="27" t="s">
        <v>262</v>
      </c>
      <c r="AS54" s="36">
        <f aca="true" t="shared" si="37" ref="AS54:AS66">AM54+AN54</f>
        <v>15588</v>
      </c>
      <c r="AT54" s="36">
        <f aca="true" t="shared" si="38" ref="AT54:AT66">G54/(100-AU54)*100</f>
        <v>866</v>
      </c>
      <c r="AU54" s="36">
        <v>0</v>
      </c>
      <c r="AV54" s="36">
        <f aca="true" t="shared" si="39" ref="AV54:AV66">L54</f>
        <v>3.3850800000000003</v>
      </c>
    </row>
    <row r="55" spans="1:48" ht="12.75">
      <c r="A55" s="5" t="s">
        <v>37</v>
      </c>
      <c r="B55" s="5"/>
      <c r="C55" s="5" t="s">
        <v>100</v>
      </c>
      <c r="D55" s="5" t="s">
        <v>172</v>
      </c>
      <c r="E55" s="5" t="s">
        <v>206</v>
      </c>
      <c r="F55" s="18">
        <v>19.8</v>
      </c>
      <c r="G55" s="101">
        <v>235</v>
      </c>
      <c r="H55" s="18">
        <f t="shared" si="20"/>
        <v>3029.777024695911</v>
      </c>
      <c r="I55" s="18">
        <f t="shared" si="21"/>
        <v>1623.2229753040888</v>
      </c>
      <c r="J55" s="18">
        <f t="shared" si="22"/>
        <v>4653</v>
      </c>
      <c r="K55" s="18">
        <v>0</v>
      </c>
      <c r="L55" s="18">
        <f t="shared" si="23"/>
        <v>0</v>
      </c>
      <c r="M55" s="32" t="s">
        <v>229</v>
      </c>
      <c r="P55" s="36">
        <f t="shared" si="24"/>
        <v>0</v>
      </c>
      <c r="R55" s="36">
        <f t="shared" si="25"/>
        <v>3029.777024695911</v>
      </c>
      <c r="S55" s="36">
        <f t="shared" si="26"/>
        <v>1623.2229753040888</v>
      </c>
      <c r="T55" s="36">
        <f t="shared" si="27"/>
        <v>0</v>
      </c>
      <c r="U55" s="36">
        <f t="shared" si="28"/>
        <v>0</v>
      </c>
      <c r="V55" s="36">
        <f t="shared" si="29"/>
        <v>0</v>
      </c>
      <c r="W55" s="36">
        <f t="shared" si="30"/>
        <v>0</v>
      </c>
      <c r="X55" s="36">
        <f t="shared" si="31"/>
        <v>0</v>
      </c>
      <c r="Y55" s="27"/>
      <c r="Z55" s="18">
        <f t="shared" si="32"/>
        <v>0</v>
      </c>
      <c r="AA55" s="18">
        <f t="shared" si="33"/>
        <v>0</v>
      </c>
      <c r="AB55" s="18">
        <f t="shared" si="34"/>
        <v>4653</v>
      </c>
      <c r="AD55" s="36">
        <v>21</v>
      </c>
      <c r="AE55" s="36">
        <f>G55*0.651144858090675</f>
        <v>153.01904165130864</v>
      </c>
      <c r="AF55" s="36">
        <f>G55*(1-0.651144858090675)</f>
        <v>81.98095834869137</v>
      </c>
      <c r="AG55" s="32" t="s">
        <v>7</v>
      </c>
      <c r="AM55" s="36">
        <f t="shared" si="35"/>
        <v>3029.777024695911</v>
      </c>
      <c r="AN55" s="36">
        <f t="shared" si="36"/>
        <v>1623.2229753040892</v>
      </c>
      <c r="AO55" s="37" t="s">
        <v>253</v>
      </c>
      <c r="AP55" s="37" t="s">
        <v>261</v>
      </c>
      <c r="AQ55" s="27" t="s">
        <v>262</v>
      </c>
      <c r="AS55" s="36">
        <f t="shared" si="37"/>
        <v>4653</v>
      </c>
      <c r="AT55" s="36">
        <f t="shared" si="38"/>
        <v>235</v>
      </c>
      <c r="AU55" s="36">
        <v>0</v>
      </c>
      <c r="AV55" s="36">
        <f t="shared" si="39"/>
        <v>0</v>
      </c>
    </row>
    <row r="56" spans="1:48" ht="12.75">
      <c r="A56" s="5" t="s">
        <v>38</v>
      </c>
      <c r="B56" s="5"/>
      <c r="C56" s="5" t="s">
        <v>101</v>
      </c>
      <c r="D56" s="5" t="s">
        <v>173</v>
      </c>
      <c r="E56" s="5" t="s">
        <v>206</v>
      </c>
      <c r="F56" s="18">
        <v>150.2</v>
      </c>
      <c r="G56" s="101">
        <v>0</v>
      </c>
      <c r="H56" s="18">
        <f t="shared" si="20"/>
        <v>0</v>
      </c>
      <c r="I56" s="18">
        <f t="shared" si="21"/>
        <v>0</v>
      </c>
      <c r="J56" s="18">
        <f t="shared" si="22"/>
        <v>0</v>
      </c>
      <c r="K56" s="18">
        <v>0.00035</v>
      </c>
      <c r="L56" s="18">
        <f t="shared" si="23"/>
        <v>0.05257</v>
      </c>
      <c r="M56" s="32" t="s">
        <v>229</v>
      </c>
      <c r="P56" s="36">
        <f t="shared" si="24"/>
        <v>0</v>
      </c>
      <c r="R56" s="36">
        <f t="shared" si="25"/>
        <v>0</v>
      </c>
      <c r="S56" s="36">
        <f t="shared" si="26"/>
        <v>0</v>
      </c>
      <c r="T56" s="36">
        <f t="shared" si="27"/>
        <v>0</v>
      </c>
      <c r="U56" s="36">
        <f t="shared" si="28"/>
        <v>0</v>
      </c>
      <c r="V56" s="36">
        <f t="shared" si="29"/>
        <v>0</v>
      </c>
      <c r="W56" s="36">
        <f t="shared" si="30"/>
        <v>0</v>
      </c>
      <c r="X56" s="36">
        <f t="shared" si="31"/>
        <v>0</v>
      </c>
      <c r="Y56" s="27"/>
      <c r="Z56" s="18">
        <f t="shared" si="32"/>
        <v>0</v>
      </c>
      <c r="AA56" s="18">
        <f t="shared" si="33"/>
        <v>0</v>
      </c>
      <c r="AB56" s="18">
        <f t="shared" si="34"/>
        <v>0</v>
      </c>
      <c r="AD56" s="36">
        <v>21</v>
      </c>
      <c r="AE56" s="36">
        <f>G56*0.644973844553425</f>
        <v>0</v>
      </c>
      <c r="AF56" s="36">
        <f>G56*(1-0.644973844553425)</f>
        <v>0</v>
      </c>
      <c r="AG56" s="32" t="s">
        <v>7</v>
      </c>
      <c r="AM56" s="36">
        <f t="shared" si="35"/>
        <v>0</v>
      </c>
      <c r="AN56" s="36">
        <f t="shared" si="36"/>
        <v>0</v>
      </c>
      <c r="AO56" s="37" t="s">
        <v>253</v>
      </c>
      <c r="AP56" s="37" t="s">
        <v>261</v>
      </c>
      <c r="AQ56" s="27" t="s">
        <v>262</v>
      </c>
      <c r="AS56" s="36">
        <f t="shared" si="37"/>
        <v>0</v>
      </c>
      <c r="AT56" s="36">
        <f t="shared" si="38"/>
        <v>0</v>
      </c>
      <c r="AU56" s="36">
        <v>0</v>
      </c>
      <c r="AV56" s="36">
        <f t="shared" si="39"/>
        <v>0.05257</v>
      </c>
    </row>
    <row r="57" spans="1:48" ht="12.75">
      <c r="A57" s="5" t="s">
        <v>39</v>
      </c>
      <c r="B57" s="5"/>
      <c r="C57" s="5" t="s">
        <v>102</v>
      </c>
      <c r="D57" s="5" t="s">
        <v>174</v>
      </c>
      <c r="E57" s="5" t="s">
        <v>210</v>
      </c>
      <c r="F57" s="18">
        <v>7</v>
      </c>
      <c r="G57" s="101">
        <v>658</v>
      </c>
      <c r="H57" s="18">
        <f t="shared" si="20"/>
        <v>1911.9924233490556</v>
      </c>
      <c r="I57" s="18">
        <f t="shared" si="21"/>
        <v>2694.0075766509444</v>
      </c>
      <c r="J57" s="18">
        <f t="shared" si="22"/>
        <v>4606</v>
      </c>
      <c r="K57" s="18">
        <v>0.2459</v>
      </c>
      <c r="L57" s="18">
        <f t="shared" si="23"/>
        <v>1.7213</v>
      </c>
      <c r="M57" s="32" t="s">
        <v>229</v>
      </c>
      <c r="P57" s="36">
        <f t="shared" si="24"/>
        <v>0</v>
      </c>
      <c r="R57" s="36">
        <f t="shared" si="25"/>
        <v>1911.9924233490556</v>
      </c>
      <c r="S57" s="36">
        <f t="shared" si="26"/>
        <v>2694.0075766509444</v>
      </c>
      <c r="T57" s="36">
        <f t="shared" si="27"/>
        <v>0</v>
      </c>
      <c r="U57" s="36">
        <f t="shared" si="28"/>
        <v>0</v>
      </c>
      <c r="V57" s="36">
        <f t="shared" si="29"/>
        <v>0</v>
      </c>
      <c r="W57" s="36">
        <f t="shared" si="30"/>
        <v>0</v>
      </c>
      <c r="X57" s="36">
        <f t="shared" si="31"/>
        <v>0</v>
      </c>
      <c r="Y57" s="27"/>
      <c r="Z57" s="18">
        <f t="shared" si="32"/>
        <v>0</v>
      </c>
      <c r="AA57" s="18">
        <f t="shared" si="33"/>
        <v>0</v>
      </c>
      <c r="AB57" s="18">
        <f t="shared" si="34"/>
        <v>4606</v>
      </c>
      <c r="AD57" s="36">
        <v>21</v>
      </c>
      <c r="AE57" s="36">
        <f>G57*0.415109080188679</f>
        <v>273.1417747641508</v>
      </c>
      <c r="AF57" s="36">
        <f>G57*(1-0.415109080188679)</f>
        <v>384.8582252358492</v>
      </c>
      <c r="AG57" s="32" t="s">
        <v>7</v>
      </c>
      <c r="AM57" s="36">
        <f t="shared" si="35"/>
        <v>1911.9924233490556</v>
      </c>
      <c r="AN57" s="36">
        <f t="shared" si="36"/>
        <v>2694.0075766509444</v>
      </c>
      <c r="AO57" s="37" t="s">
        <v>253</v>
      </c>
      <c r="AP57" s="37" t="s">
        <v>261</v>
      </c>
      <c r="AQ57" s="27" t="s">
        <v>262</v>
      </c>
      <c r="AS57" s="36">
        <f t="shared" si="37"/>
        <v>4606</v>
      </c>
      <c r="AT57" s="36">
        <f t="shared" si="38"/>
        <v>658</v>
      </c>
      <c r="AU57" s="36">
        <v>0</v>
      </c>
      <c r="AV57" s="36">
        <f t="shared" si="39"/>
        <v>1.7213</v>
      </c>
    </row>
    <row r="58" spans="1:48" ht="12.75">
      <c r="A58" s="5" t="s">
        <v>40</v>
      </c>
      <c r="B58" s="5"/>
      <c r="C58" s="5" t="s">
        <v>101</v>
      </c>
      <c r="D58" s="5" t="s">
        <v>175</v>
      </c>
      <c r="E58" s="5" t="s">
        <v>206</v>
      </c>
      <c r="F58" s="18">
        <v>20</v>
      </c>
      <c r="G58" s="101">
        <v>147</v>
      </c>
      <c r="H58" s="18">
        <f t="shared" si="20"/>
        <v>1896.2343750000011</v>
      </c>
      <c r="I58" s="18">
        <f t="shared" si="21"/>
        <v>1043.7656249999989</v>
      </c>
      <c r="J58" s="18">
        <f t="shared" si="22"/>
        <v>2940</v>
      </c>
      <c r="K58" s="18">
        <v>0.00035</v>
      </c>
      <c r="L58" s="18">
        <f t="shared" si="23"/>
        <v>0.007</v>
      </c>
      <c r="M58" s="32" t="s">
        <v>229</v>
      </c>
      <c r="P58" s="36">
        <f t="shared" si="24"/>
        <v>0</v>
      </c>
      <c r="R58" s="36">
        <f t="shared" si="25"/>
        <v>1896.2343750000011</v>
      </c>
      <c r="S58" s="36">
        <f t="shared" si="26"/>
        <v>1043.7656249999989</v>
      </c>
      <c r="T58" s="36">
        <f t="shared" si="27"/>
        <v>0</v>
      </c>
      <c r="U58" s="36">
        <f t="shared" si="28"/>
        <v>0</v>
      </c>
      <c r="V58" s="36">
        <f t="shared" si="29"/>
        <v>0</v>
      </c>
      <c r="W58" s="36">
        <f t="shared" si="30"/>
        <v>0</v>
      </c>
      <c r="X58" s="36">
        <f t="shared" si="31"/>
        <v>0</v>
      </c>
      <c r="Y58" s="27"/>
      <c r="Z58" s="18">
        <f t="shared" si="32"/>
        <v>0</v>
      </c>
      <c r="AA58" s="18">
        <f t="shared" si="33"/>
        <v>0</v>
      </c>
      <c r="AB58" s="18">
        <f t="shared" si="34"/>
        <v>2940</v>
      </c>
      <c r="AD58" s="36">
        <v>21</v>
      </c>
      <c r="AE58" s="36">
        <f>G58*0.644977678571429</f>
        <v>94.81171875000005</v>
      </c>
      <c r="AF58" s="36">
        <f>G58*(1-0.644977678571429)</f>
        <v>52.188281249999946</v>
      </c>
      <c r="AG58" s="32" t="s">
        <v>7</v>
      </c>
      <c r="AM58" s="36">
        <f t="shared" si="35"/>
        <v>1896.2343750000011</v>
      </c>
      <c r="AN58" s="36">
        <f t="shared" si="36"/>
        <v>1043.7656249999989</v>
      </c>
      <c r="AO58" s="37" t="s">
        <v>253</v>
      </c>
      <c r="AP58" s="37" t="s">
        <v>261</v>
      </c>
      <c r="AQ58" s="27" t="s">
        <v>262</v>
      </c>
      <c r="AS58" s="36">
        <f t="shared" si="37"/>
        <v>2940</v>
      </c>
      <c r="AT58" s="36">
        <f t="shared" si="38"/>
        <v>147</v>
      </c>
      <c r="AU58" s="36">
        <v>0</v>
      </c>
      <c r="AV58" s="36">
        <f t="shared" si="39"/>
        <v>0.007</v>
      </c>
    </row>
    <row r="59" spans="1:48" ht="12.75">
      <c r="A59" s="7" t="s">
        <v>41</v>
      </c>
      <c r="B59" s="7"/>
      <c r="C59" s="7" t="s">
        <v>103</v>
      </c>
      <c r="D59" s="7" t="s">
        <v>176</v>
      </c>
      <c r="E59" s="7" t="s">
        <v>210</v>
      </c>
      <c r="F59" s="19">
        <v>5</v>
      </c>
      <c r="G59" s="102">
        <v>731</v>
      </c>
      <c r="H59" s="19">
        <f t="shared" si="20"/>
        <v>3655</v>
      </c>
      <c r="I59" s="19">
        <f t="shared" si="21"/>
        <v>0</v>
      </c>
      <c r="J59" s="19">
        <f t="shared" si="22"/>
        <v>3655</v>
      </c>
      <c r="K59" s="19">
        <v>0.00126</v>
      </c>
      <c r="L59" s="19">
        <f t="shared" si="23"/>
        <v>0.0063</v>
      </c>
      <c r="M59" s="33" t="s">
        <v>231</v>
      </c>
      <c r="P59" s="36">
        <f t="shared" si="24"/>
        <v>0</v>
      </c>
      <c r="R59" s="36">
        <f t="shared" si="25"/>
        <v>3655</v>
      </c>
      <c r="S59" s="36">
        <f t="shared" si="26"/>
        <v>0</v>
      </c>
      <c r="T59" s="36">
        <f t="shared" si="27"/>
        <v>0</v>
      </c>
      <c r="U59" s="36">
        <f t="shared" si="28"/>
        <v>0</v>
      </c>
      <c r="V59" s="36">
        <f t="shared" si="29"/>
        <v>0</v>
      </c>
      <c r="W59" s="36">
        <f t="shared" si="30"/>
        <v>0</v>
      </c>
      <c r="X59" s="36">
        <f t="shared" si="31"/>
        <v>0</v>
      </c>
      <c r="Y59" s="27"/>
      <c r="Z59" s="19">
        <f t="shared" si="32"/>
        <v>0</v>
      </c>
      <c r="AA59" s="19">
        <f t="shared" si="33"/>
        <v>0</v>
      </c>
      <c r="AB59" s="19">
        <f t="shared" si="34"/>
        <v>3655</v>
      </c>
      <c r="AD59" s="36">
        <v>21</v>
      </c>
      <c r="AE59" s="36">
        <f aca="true" t="shared" si="40" ref="AE59:AE66">G59*1</f>
        <v>731</v>
      </c>
      <c r="AF59" s="36">
        <f aca="true" t="shared" si="41" ref="AF59:AF66">G59*(1-1)</f>
        <v>0</v>
      </c>
      <c r="AG59" s="33" t="s">
        <v>7</v>
      </c>
      <c r="AM59" s="36">
        <f t="shared" si="35"/>
        <v>3655</v>
      </c>
      <c r="AN59" s="36">
        <f t="shared" si="36"/>
        <v>0</v>
      </c>
      <c r="AO59" s="37" t="s">
        <v>253</v>
      </c>
      <c r="AP59" s="37" t="s">
        <v>261</v>
      </c>
      <c r="AQ59" s="27" t="s">
        <v>262</v>
      </c>
      <c r="AS59" s="36">
        <f t="shared" si="37"/>
        <v>3655</v>
      </c>
      <c r="AT59" s="36">
        <f t="shared" si="38"/>
        <v>731</v>
      </c>
      <c r="AU59" s="36">
        <v>0</v>
      </c>
      <c r="AV59" s="36">
        <f t="shared" si="39"/>
        <v>0.0063</v>
      </c>
    </row>
    <row r="60" spans="1:48" ht="12.75">
      <c r="A60" s="7" t="s">
        <v>42</v>
      </c>
      <c r="B60" s="7"/>
      <c r="C60" s="7" t="s">
        <v>104</v>
      </c>
      <c r="D60" s="7" t="s">
        <v>177</v>
      </c>
      <c r="E60" s="7" t="s">
        <v>210</v>
      </c>
      <c r="F60" s="19">
        <v>2</v>
      </c>
      <c r="G60" s="102">
        <v>1024</v>
      </c>
      <c r="H60" s="19">
        <f t="shared" si="20"/>
        <v>2048</v>
      </c>
      <c r="I60" s="19">
        <f t="shared" si="21"/>
        <v>0</v>
      </c>
      <c r="J60" s="19">
        <f t="shared" si="22"/>
        <v>2048</v>
      </c>
      <c r="K60" s="19">
        <v>0.0051</v>
      </c>
      <c r="L60" s="19">
        <f t="shared" si="23"/>
        <v>0.0102</v>
      </c>
      <c r="M60" s="33" t="s">
        <v>229</v>
      </c>
      <c r="P60" s="36">
        <f t="shared" si="24"/>
        <v>0</v>
      </c>
      <c r="R60" s="36">
        <f t="shared" si="25"/>
        <v>2048</v>
      </c>
      <c r="S60" s="36">
        <f t="shared" si="26"/>
        <v>0</v>
      </c>
      <c r="T60" s="36">
        <f t="shared" si="27"/>
        <v>0</v>
      </c>
      <c r="U60" s="36">
        <f t="shared" si="28"/>
        <v>0</v>
      </c>
      <c r="V60" s="36">
        <f t="shared" si="29"/>
        <v>0</v>
      </c>
      <c r="W60" s="36">
        <f t="shared" si="30"/>
        <v>0</v>
      </c>
      <c r="X60" s="36">
        <f t="shared" si="31"/>
        <v>0</v>
      </c>
      <c r="Y60" s="27"/>
      <c r="Z60" s="19">
        <f t="shared" si="32"/>
        <v>0</v>
      </c>
      <c r="AA60" s="19">
        <f t="shared" si="33"/>
        <v>0</v>
      </c>
      <c r="AB60" s="19">
        <f t="shared" si="34"/>
        <v>2048</v>
      </c>
      <c r="AD60" s="36">
        <v>21</v>
      </c>
      <c r="AE60" s="36">
        <f t="shared" si="40"/>
        <v>1024</v>
      </c>
      <c r="AF60" s="36">
        <f t="shared" si="41"/>
        <v>0</v>
      </c>
      <c r="AG60" s="33" t="s">
        <v>7</v>
      </c>
      <c r="AM60" s="36">
        <f t="shared" si="35"/>
        <v>2048</v>
      </c>
      <c r="AN60" s="36">
        <f t="shared" si="36"/>
        <v>0</v>
      </c>
      <c r="AO60" s="37" t="s">
        <v>253</v>
      </c>
      <c r="AP60" s="37" t="s">
        <v>261</v>
      </c>
      <c r="AQ60" s="27" t="s">
        <v>262</v>
      </c>
      <c r="AS60" s="36">
        <f t="shared" si="37"/>
        <v>2048</v>
      </c>
      <c r="AT60" s="36">
        <f t="shared" si="38"/>
        <v>1024</v>
      </c>
      <c r="AU60" s="36">
        <v>0</v>
      </c>
      <c r="AV60" s="36">
        <f t="shared" si="39"/>
        <v>0.0102</v>
      </c>
    </row>
    <row r="61" spans="1:48" ht="12.75">
      <c r="A61" s="7" t="s">
        <v>43</v>
      </c>
      <c r="B61" s="7"/>
      <c r="C61" s="7" t="s">
        <v>105</v>
      </c>
      <c r="D61" s="7" t="s">
        <v>178</v>
      </c>
      <c r="E61" s="7" t="s">
        <v>210</v>
      </c>
      <c r="F61" s="19">
        <v>2</v>
      </c>
      <c r="G61" s="102">
        <v>731</v>
      </c>
      <c r="H61" s="19">
        <f t="shared" si="20"/>
        <v>1462</v>
      </c>
      <c r="I61" s="19">
        <f t="shared" si="21"/>
        <v>0</v>
      </c>
      <c r="J61" s="19">
        <f t="shared" si="22"/>
        <v>1462</v>
      </c>
      <c r="K61" s="19">
        <v>0</v>
      </c>
      <c r="L61" s="19">
        <f t="shared" si="23"/>
        <v>0</v>
      </c>
      <c r="M61" s="33" t="s">
        <v>229</v>
      </c>
      <c r="P61" s="36">
        <f t="shared" si="24"/>
        <v>0</v>
      </c>
      <c r="R61" s="36">
        <f t="shared" si="25"/>
        <v>1462</v>
      </c>
      <c r="S61" s="36">
        <f t="shared" si="26"/>
        <v>0</v>
      </c>
      <c r="T61" s="36">
        <f t="shared" si="27"/>
        <v>0</v>
      </c>
      <c r="U61" s="36">
        <f t="shared" si="28"/>
        <v>0</v>
      </c>
      <c r="V61" s="36">
        <f t="shared" si="29"/>
        <v>0</v>
      </c>
      <c r="W61" s="36">
        <f t="shared" si="30"/>
        <v>0</v>
      </c>
      <c r="X61" s="36">
        <f t="shared" si="31"/>
        <v>0</v>
      </c>
      <c r="Y61" s="27"/>
      <c r="Z61" s="19">
        <f t="shared" si="32"/>
        <v>0</v>
      </c>
      <c r="AA61" s="19">
        <f t="shared" si="33"/>
        <v>0</v>
      </c>
      <c r="AB61" s="19">
        <f t="shared" si="34"/>
        <v>1462</v>
      </c>
      <c r="AD61" s="36">
        <v>21</v>
      </c>
      <c r="AE61" s="36">
        <f t="shared" si="40"/>
        <v>731</v>
      </c>
      <c r="AF61" s="36">
        <f t="shared" si="41"/>
        <v>0</v>
      </c>
      <c r="AG61" s="33" t="s">
        <v>7</v>
      </c>
      <c r="AM61" s="36">
        <f t="shared" si="35"/>
        <v>1462</v>
      </c>
      <c r="AN61" s="36">
        <f t="shared" si="36"/>
        <v>0</v>
      </c>
      <c r="AO61" s="37" t="s">
        <v>253</v>
      </c>
      <c r="AP61" s="37" t="s">
        <v>261</v>
      </c>
      <c r="AQ61" s="27" t="s">
        <v>262</v>
      </c>
      <c r="AS61" s="36">
        <f t="shared" si="37"/>
        <v>1462</v>
      </c>
      <c r="AT61" s="36">
        <f t="shared" si="38"/>
        <v>731</v>
      </c>
      <c r="AU61" s="36">
        <v>0</v>
      </c>
      <c r="AV61" s="36">
        <f t="shared" si="39"/>
        <v>0</v>
      </c>
    </row>
    <row r="62" spans="1:48" ht="12.75">
      <c r="A62" s="7" t="s">
        <v>44</v>
      </c>
      <c r="B62" s="7"/>
      <c r="C62" s="7" t="s">
        <v>106</v>
      </c>
      <c r="D62" s="7" t="s">
        <v>179</v>
      </c>
      <c r="E62" s="7" t="s">
        <v>210</v>
      </c>
      <c r="F62" s="19">
        <v>14</v>
      </c>
      <c r="G62" s="102">
        <v>102</v>
      </c>
      <c r="H62" s="19">
        <f t="shared" si="20"/>
        <v>1428</v>
      </c>
      <c r="I62" s="19">
        <f t="shared" si="21"/>
        <v>0</v>
      </c>
      <c r="J62" s="19">
        <f t="shared" si="22"/>
        <v>1428</v>
      </c>
      <c r="K62" s="19">
        <v>0.00019</v>
      </c>
      <c r="L62" s="19">
        <f t="shared" si="23"/>
        <v>0.00266</v>
      </c>
      <c r="M62" s="33" t="s">
        <v>229</v>
      </c>
      <c r="P62" s="36">
        <f t="shared" si="24"/>
        <v>0</v>
      </c>
      <c r="R62" s="36">
        <f t="shared" si="25"/>
        <v>1428</v>
      </c>
      <c r="S62" s="36">
        <f t="shared" si="26"/>
        <v>0</v>
      </c>
      <c r="T62" s="36">
        <f t="shared" si="27"/>
        <v>0</v>
      </c>
      <c r="U62" s="36">
        <f t="shared" si="28"/>
        <v>0</v>
      </c>
      <c r="V62" s="36">
        <f t="shared" si="29"/>
        <v>0</v>
      </c>
      <c r="W62" s="36">
        <f t="shared" si="30"/>
        <v>0</v>
      </c>
      <c r="X62" s="36">
        <f t="shared" si="31"/>
        <v>0</v>
      </c>
      <c r="Y62" s="27"/>
      <c r="Z62" s="19">
        <f t="shared" si="32"/>
        <v>0</v>
      </c>
      <c r="AA62" s="19">
        <f t="shared" si="33"/>
        <v>0</v>
      </c>
      <c r="AB62" s="19">
        <f t="shared" si="34"/>
        <v>1428</v>
      </c>
      <c r="AD62" s="36">
        <v>21</v>
      </c>
      <c r="AE62" s="36">
        <f t="shared" si="40"/>
        <v>102</v>
      </c>
      <c r="AF62" s="36">
        <f t="shared" si="41"/>
        <v>0</v>
      </c>
      <c r="AG62" s="33" t="s">
        <v>7</v>
      </c>
      <c r="AM62" s="36">
        <f t="shared" si="35"/>
        <v>1428</v>
      </c>
      <c r="AN62" s="36">
        <f t="shared" si="36"/>
        <v>0</v>
      </c>
      <c r="AO62" s="37" t="s">
        <v>253</v>
      </c>
      <c r="AP62" s="37" t="s">
        <v>261</v>
      </c>
      <c r="AQ62" s="27" t="s">
        <v>262</v>
      </c>
      <c r="AS62" s="36">
        <f t="shared" si="37"/>
        <v>1428</v>
      </c>
      <c r="AT62" s="36">
        <f t="shared" si="38"/>
        <v>102</v>
      </c>
      <c r="AU62" s="36">
        <v>0</v>
      </c>
      <c r="AV62" s="36">
        <f t="shared" si="39"/>
        <v>0.00266</v>
      </c>
    </row>
    <row r="63" spans="1:48" ht="12.75">
      <c r="A63" s="7" t="s">
        <v>45</v>
      </c>
      <c r="B63" s="7"/>
      <c r="C63" s="7" t="s">
        <v>107</v>
      </c>
      <c r="D63" s="7" t="s">
        <v>180</v>
      </c>
      <c r="E63" s="7" t="s">
        <v>210</v>
      </c>
      <c r="F63" s="19">
        <v>2</v>
      </c>
      <c r="G63" s="102">
        <v>585</v>
      </c>
      <c r="H63" s="19">
        <f t="shared" si="20"/>
        <v>1170</v>
      </c>
      <c r="I63" s="19">
        <f t="shared" si="21"/>
        <v>0</v>
      </c>
      <c r="J63" s="19">
        <f t="shared" si="22"/>
        <v>1170</v>
      </c>
      <c r="K63" s="19">
        <v>0</v>
      </c>
      <c r="L63" s="19">
        <f t="shared" si="23"/>
        <v>0</v>
      </c>
      <c r="M63" s="33" t="s">
        <v>229</v>
      </c>
      <c r="P63" s="36">
        <f t="shared" si="24"/>
        <v>0</v>
      </c>
      <c r="R63" s="36">
        <f t="shared" si="25"/>
        <v>1170</v>
      </c>
      <c r="S63" s="36">
        <f t="shared" si="26"/>
        <v>0</v>
      </c>
      <c r="T63" s="36">
        <f t="shared" si="27"/>
        <v>0</v>
      </c>
      <c r="U63" s="36">
        <f t="shared" si="28"/>
        <v>0</v>
      </c>
      <c r="V63" s="36">
        <f t="shared" si="29"/>
        <v>0</v>
      </c>
      <c r="W63" s="36">
        <f t="shared" si="30"/>
        <v>0</v>
      </c>
      <c r="X63" s="36">
        <f t="shared" si="31"/>
        <v>0</v>
      </c>
      <c r="Y63" s="27"/>
      <c r="Z63" s="19">
        <f t="shared" si="32"/>
        <v>0</v>
      </c>
      <c r="AA63" s="19">
        <f t="shared" si="33"/>
        <v>0</v>
      </c>
      <c r="AB63" s="19">
        <f t="shared" si="34"/>
        <v>1170</v>
      </c>
      <c r="AD63" s="36">
        <v>21</v>
      </c>
      <c r="AE63" s="36">
        <f t="shared" si="40"/>
        <v>585</v>
      </c>
      <c r="AF63" s="36">
        <f t="shared" si="41"/>
        <v>0</v>
      </c>
      <c r="AG63" s="33" t="s">
        <v>7</v>
      </c>
      <c r="AM63" s="36">
        <f t="shared" si="35"/>
        <v>1170</v>
      </c>
      <c r="AN63" s="36">
        <f t="shared" si="36"/>
        <v>0</v>
      </c>
      <c r="AO63" s="37" t="s">
        <v>253</v>
      </c>
      <c r="AP63" s="37" t="s">
        <v>261</v>
      </c>
      <c r="AQ63" s="27" t="s">
        <v>262</v>
      </c>
      <c r="AS63" s="36">
        <f t="shared" si="37"/>
        <v>1170</v>
      </c>
      <c r="AT63" s="36">
        <f t="shared" si="38"/>
        <v>585</v>
      </c>
      <c r="AU63" s="36">
        <v>0</v>
      </c>
      <c r="AV63" s="36">
        <f t="shared" si="39"/>
        <v>0</v>
      </c>
    </row>
    <row r="64" spans="1:48" ht="12.75">
      <c r="A64" s="7" t="s">
        <v>46</v>
      </c>
      <c r="B64" s="7"/>
      <c r="C64" s="7" t="s">
        <v>108</v>
      </c>
      <c r="D64" s="7" t="s">
        <v>181</v>
      </c>
      <c r="E64" s="7" t="s">
        <v>210</v>
      </c>
      <c r="F64" s="19">
        <v>1</v>
      </c>
      <c r="G64" s="102">
        <v>1316</v>
      </c>
      <c r="H64" s="19">
        <f t="shared" si="20"/>
        <v>1316</v>
      </c>
      <c r="I64" s="19">
        <f t="shared" si="21"/>
        <v>0</v>
      </c>
      <c r="J64" s="19">
        <f t="shared" si="22"/>
        <v>1316</v>
      </c>
      <c r="K64" s="19">
        <v>0.007</v>
      </c>
      <c r="L64" s="19">
        <f t="shared" si="23"/>
        <v>0.007</v>
      </c>
      <c r="M64" s="33" t="s">
        <v>229</v>
      </c>
      <c r="P64" s="36">
        <f t="shared" si="24"/>
        <v>0</v>
      </c>
      <c r="R64" s="36">
        <f t="shared" si="25"/>
        <v>1316</v>
      </c>
      <c r="S64" s="36">
        <f t="shared" si="26"/>
        <v>0</v>
      </c>
      <c r="T64" s="36">
        <f t="shared" si="27"/>
        <v>0</v>
      </c>
      <c r="U64" s="36">
        <f t="shared" si="28"/>
        <v>0</v>
      </c>
      <c r="V64" s="36">
        <f t="shared" si="29"/>
        <v>0</v>
      </c>
      <c r="W64" s="36">
        <f t="shared" si="30"/>
        <v>0</v>
      </c>
      <c r="X64" s="36">
        <f t="shared" si="31"/>
        <v>0</v>
      </c>
      <c r="Y64" s="27"/>
      <c r="Z64" s="19">
        <f t="shared" si="32"/>
        <v>0</v>
      </c>
      <c r="AA64" s="19">
        <f t="shared" si="33"/>
        <v>0</v>
      </c>
      <c r="AB64" s="19">
        <f t="shared" si="34"/>
        <v>1316</v>
      </c>
      <c r="AD64" s="36">
        <v>21</v>
      </c>
      <c r="AE64" s="36">
        <f t="shared" si="40"/>
        <v>1316</v>
      </c>
      <c r="AF64" s="36">
        <f t="shared" si="41"/>
        <v>0</v>
      </c>
      <c r="AG64" s="33" t="s">
        <v>7</v>
      </c>
      <c r="AM64" s="36">
        <f t="shared" si="35"/>
        <v>1316</v>
      </c>
      <c r="AN64" s="36">
        <f t="shared" si="36"/>
        <v>0</v>
      </c>
      <c r="AO64" s="37" t="s">
        <v>253</v>
      </c>
      <c r="AP64" s="37" t="s">
        <v>261</v>
      </c>
      <c r="AQ64" s="27" t="s">
        <v>262</v>
      </c>
      <c r="AS64" s="36">
        <f t="shared" si="37"/>
        <v>1316</v>
      </c>
      <c r="AT64" s="36">
        <f t="shared" si="38"/>
        <v>1316</v>
      </c>
      <c r="AU64" s="36">
        <v>0</v>
      </c>
      <c r="AV64" s="36">
        <f t="shared" si="39"/>
        <v>0.007</v>
      </c>
    </row>
    <row r="65" spans="1:48" ht="12.75">
      <c r="A65" s="7" t="s">
        <v>47</v>
      </c>
      <c r="B65" s="7"/>
      <c r="C65" s="7" t="s">
        <v>109</v>
      </c>
      <c r="D65" s="7" t="s">
        <v>182</v>
      </c>
      <c r="E65" s="7" t="s">
        <v>210</v>
      </c>
      <c r="F65" s="19">
        <v>1</v>
      </c>
      <c r="G65" s="102">
        <v>878</v>
      </c>
      <c r="H65" s="19">
        <f t="shared" si="20"/>
        <v>878</v>
      </c>
      <c r="I65" s="19">
        <f t="shared" si="21"/>
        <v>0</v>
      </c>
      <c r="J65" s="19">
        <f t="shared" si="22"/>
        <v>878</v>
      </c>
      <c r="K65" s="19">
        <v>0.0051</v>
      </c>
      <c r="L65" s="19">
        <f t="shared" si="23"/>
        <v>0.0051</v>
      </c>
      <c r="M65" s="33" t="s">
        <v>229</v>
      </c>
      <c r="P65" s="36">
        <f t="shared" si="24"/>
        <v>0</v>
      </c>
      <c r="R65" s="36">
        <f t="shared" si="25"/>
        <v>878</v>
      </c>
      <c r="S65" s="36">
        <f t="shared" si="26"/>
        <v>0</v>
      </c>
      <c r="T65" s="36">
        <f t="shared" si="27"/>
        <v>0</v>
      </c>
      <c r="U65" s="36">
        <f t="shared" si="28"/>
        <v>0</v>
      </c>
      <c r="V65" s="36">
        <f t="shared" si="29"/>
        <v>0</v>
      </c>
      <c r="W65" s="36">
        <f t="shared" si="30"/>
        <v>0</v>
      </c>
      <c r="X65" s="36">
        <f t="shared" si="31"/>
        <v>0</v>
      </c>
      <c r="Y65" s="27"/>
      <c r="Z65" s="19">
        <f t="shared" si="32"/>
        <v>0</v>
      </c>
      <c r="AA65" s="19">
        <f t="shared" si="33"/>
        <v>0</v>
      </c>
      <c r="AB65" s="19">
        <f t="shared" si="34"/>
        <v>878</v>
      </c>
      <c r="AD65" s="36">
        <v>21</v>
      </c>
      <c r="AE65" s="36">
        <f t="shared" si="40"/>
        <v>878</v>
      </c>
      <c r="AF65" s="36">
        <f t="shared" si="41"/>
        <v>0</v>
      </c>
      <c r="AG65" s="33" t="s">
        <v>7</v>
      </c>
      <c r="AM65" s="36">
        <f t="shared" si="35"/>
        <v>878</v>
      </c>
      <c r="AN65" s="36">
        <f t="shared" si="36"/>
        <v>0</v>
      </c>
      <c r="AO65" s="37" t="s">
        <v>253</v>
      </c>
      <c r="AP65" s="37" t="s">
        <v>261</v>
      </c>
      <c r="AQ65" s="27" t="s">
        <v>262</v>
      </c>
      <c r="AS65" s="36">
        <f t="shared" si="37"/>
        <v>878</v>
      </c>
      <c r="AT65" s="36">
        <f t="shared" si="38"/>
        <v>877.9999999999999</v>
      </c>
      <c r="AU65" s="36">
        <v>0</v>
      </c>
      <c r="AV65" s="36">
        <f t="shared" si="39"/>
        <v>0.0051</v>
      </c>
    </row>
    <row r="66" spans="1:48" ht="12.75">
      <c r="A66" s="7" t="s">
        <v>48</v>
      </c>
      <c r="B66" s="7"/>
      <c r="C66" s="7" t="s">
        <v>110</v>
      </c>
      <c r="D66" s="7" t="s">
        <v>183</v>
      </c>
      <c r="E66" s="7" t="s">
        <v>210</v>
      </c>
      <c r="F66" s="19">
        <v>2</v>
      </c>
      <c r="G66" s="102">
        <v>1316</v>
      </c>
      <c r="H66" s="19">
        <f t="shared" si="20"/>
        <v>2632</v>
      </c>
      <c r="I66" s="19">
        <f t="shared" si="21"/>
        <v>0</v>
      </c>
      <c r="J66" s="19">
        <f t="shared" si="22"/>
        <v>2632</v>
      </c>
      <c r="K66" s="19">
        <v>0.0051</v>
      </c>
      <c r="L66" s="19">
        <f t="shared" si="23"/>
        <v>0.0102</v>
      </c>
      <c r="M66" s="33" t="s">
        <v>229</v>
      </c>
      <c r="P66" s="36">
        <f t="shared" si="24"/>
        <v>0</v>
      </c>
      <c r="R66" s="36">
        <f t="shared" si="25"/>
        <v>2632</v>
      </c>
      <c r="S66" s="36">
        <f t="shared" si="26"/>
        <v>0</v>
      </c>
      <c r="T66" s="36">
        <f t="shared" si="27"/>
        <v>0</v>
      </c>
      <c r="U66" s="36">
        <f t="shared" si="28"/>
        <v>0</v>
      </c>
      <c r="V66" s="36">
        <f t="shared" si="29"/>
        <v>0</v>
      </c>
      <c r="W66" s="36">
        <f t="shared" si="30"/>
        <v>0</v>
      </c>
      <c r="X66" s="36">
        <f t="shared" si="31"/>
        <v>0</v>
      </c>
      <c r="Y66" s="27"/>
      <c r="Z66" s="19">
        <f t="shared" si="32"/>
        <v>0</v>
      </c>
      <c r="AA66" s="19">
        <f t="shared" si="33"/>
        <v>0</v>
      </c>
      <c r="AB66" s="19">
        <f t="shared" si="34"/>
        <v>2632</v>
      </c>
      <c r="AD66" s="36">
        <v>21</v>
      </c>
      <c r="AE66" s="36">
        <f t="shared" si="40"/>
        <v>1316</v>
      </c>
      <c r="AF66" s="36">
        <f t="shared" si="41"/>
        <v>0</v>
      </c>
      <c r="AG66" s="33" t="s">
        <v>7</v>
      </c>
      <c r="AM66" s="36">
        <f t="shared" si="35"/>
        <v>2632</v>
      </c>
      <c r="AN66" s="36">
        <f t="shared" si="36"/>
        <v>0</v>
      </c>
      <c r="AO66" s="37" t="s">
        <v>253</v>
      </c>
      <c r="AP66" s="37" t="s">
        <v>261</v>
      </c>
      <c r="AQ66" s="27" t="s">
        <v>262</v>
      </c>
      <c r="AS66" s="36">
        <f t="shared" si="37"/>
        <v>2632</v>
      </c>
      <c r="AT66" s="36">
        <f t="shared" si="38"/>
        <v>1316</v>
      </c>
      <c r="AU66" s="36">
        <v>0</v>
      </c>
      <c r="AV66" s="36">
        <f t="shared" si="39"/>
        <v>0.0102</v>
      </c>
    </row>
    <row r="67" spans="1:37" ht="12.75">
      <c r="A67" s="6"/>
      <c r="B67" s="14"/>
      <c r="C67" s="14" t="s">
        <v>111</v>
      </c>
      <c r="D67" s="14" t="s">
        <v>184</v>
      </c>
      <c r="E67" s="6" t="s">
        <v>6</v>
      </c>
      <c r="F67" s="6" t="s">
        <v>6</v>
      </c>
      <c r="G67" s="6"/>
      <c r="H67" s="39">
        <f>SUM(H68:H68)</f>
        <v>0</v>
      </c>
      <c r="I67" s="39">
        <f>SUM(I68:I68)</f>
        <v>702</v>
      </c>
      <c r="J67" s="39">
        <f>H67+I67</f>
        <v>702</v>
      </c>
      <c r="K67" s="27"/>
      <c r="L67" s="39">
        <f>SUM(L68:L68)</f>
        <v>0</v>
      </c>
      <c r="M67" s="27"/>
      <c r="Y67" s="27"/>
      <c r="AI67" s="39">
        <f>SUM(Z68:Z68)</f>
        <v>0</v>
      </c>
      <c r="AJ67" s="39">
        <f>SUM(AA68:AA68)</f>
        <v>0</v>
      </c>
      <c r="AK67" s="39">
        <f>SUM(AB68:AB68)</f>
        <v>702</v>
      </c>
    </row>
    <row r="68" spans="1:48" ht="12.75">
      <c r="A68" s="5" t="s">
        <v>49</v>
      </c>
      <c r="B68" s="5"/>
      <c r="C68" s="5" t="s">
        <v>112</v>
      </c>
      <c r="D68" s="5" t="s">
        <v>185</v>
      </c>
      <c r="E68" s="5" t="s">
        <v>206</v>
      </c>
      <c r="F68" s="18">
        <v>18</v>
      </c>
      <c r="G68" s="101">
        <v>39</v>
      </c>
      <c r="H68" s="18">
        <f>F68*AE68</f>
        <v>0</v>
      </c>
      <c r="I68" s="18">
        <f>J68-H68</f>
        <v>702</v>
      </c>
      <c r="J68" s="18">
        <f>F68*G68</f>
        <v>702</v>
      </c>
      <c r="K68" s="18">
        <v>0</v>
      </c>
      <c r="L68" s="18">
        <f>F68*K68</f>
        <v>0</v>
      </c>
      <c r="M68" s="32" t="s">
        <v>229</v>
      </c>
      <c r="P68" s="36">
        <f>IF(AG68="5",J68,0)</f>
        <v>0</v>
      </c>
      <c r="R68" s="36">
        <f>IF(AG68="1",H68,0)</f>
        <v>0</v>
      </c>
      <c r="S68" s="36">
        <f>IF(AG68="1",I68,0)</f>
        <v>702</v>
      </c>
      <c r="T68" s="36">
        <f>IF(AG68="7",H68,0)</f>
        <v>0</v>
      </c>
      <c r="U68" s="36">
        <f>IF(AG68="7",I68,0)</f>
        <v>0</v>
      </c>
      <c r="V68" s="36">
        <f>IF(AG68="2",H68,0)</f>
        <v>0</v>
      </c>
      <c r="W68" s="36">
        <f>IF(AG68="2",I68,0)</f>
        <v>0</v>
      </c>
      <c r="X68" s="36">
        <f>IF(AG68="0",J68,0)</f>
        <v>0</v>
      </c>
      <c r="Y68" s="27"/>
      <c r="Z68" s="18">
        <f>IF(AD68=0,J68,0)</f>
        <v>0</v>
      </c>
      <c r="AA68" s="18">
        <f>IF(AD68=15,J68,0)</f>
        <v>0</v>
      </c>
      <c r="AB68" s="18">
        <f>IF(AD68=21,J68,0)</f>
        <v>702</v>
      </c>
      <c r="AD68" s="36">
        <v>21</v>
      </c>
      <c r="AE68" s="36">
        <f>G68*0</f>
        <v>0</v>
      </c>
      <c r="AF68" s="36">
        <f>G68*(1-0)</f>
        <v>39</v>
      </c>
      <c r="AG68" s="32" t="s">
        <v>7</v>
      </c>
      <c r="AM68" s="36">
        <f>F68*AE68</f>
        <v>0</v>
      </c>
      <c r="AN68" s="36">
        <f>F68*AF68</f>
        <v>702</v>
      </c>
      <c r="AO68" s="37" t="s">
        <v>254</v>
      </c>
      <c r="AP68" s="37" t="s">
        <v>261</v>
      </c>
      <c r="AQ68" s="27" t="s">
        <v>262</v>
      </c>
      <c r="AS68" s="36">
        <f>AM68+AN68</f>
        <v>702</v>
      </c>
      <c r="AT68" s="36">
        <f>G68/(100-AU68)*100</f>
        <v>39</v>
      </c>
      <c r="AU68" s="36">
        <v>0</v>
      </c>
      <c r="AV68" s="36">
        <f>L68</f>
        <v>0</v>
      </c>
    </row>
    <row r="69" spans="1:37" ht="12.75">
      <c r="A69" s="6"/>
      <c r="B69" s="14"/>
      <c r="C69" s="14" t="s">
        <v>113</v>
      </c>
      <c r="D69" s="14" t="s">
        <v>186</v>
      </c>
      <c r="E69" s="6" t="s">
        <v>6</v>
      </c>
      <c r="F69" s="6" t="s">
        <v>6</v>
      </c>
      <c r="G69" s="6"/>
      <c r="H69" s="39">
        <f>SUM(H70:H75)</f>
        <v>0</v>
      </c>
      <c r="I69" s="39">
        <f>SUM(I70:I75)</f>
        <v>9257.28</v>
      </c>
      <c r="J69" s="39">
        <f>H69+I69</f>
        <v>9257.28</v>
      </c>
      <c r="K69" s="27"/>
      <c r="L69" s="39">
        <f>SUM(L70:L75)</f>
        <v>0</v>
      </c>
      <c r="M69" s="27"/>
      <c r="Y69" s="27"/>
      <c r="AI69" s="39">
        <f>SUM(Z70:Z75)</f>
        <v>0</v>
      </c>
      <c r="AJ69" s="39">
        <f>SUM(AA70:AA75)</f>
        <v>0</v>
      </c>
      <c r="AK69" s="39">
        <f>SUM(AB70:AB75)</f>
        <v>9257.28</v>
      </c>
    </row>
    <row r="70" spans="1:48" ht="12.75">
      <c r="A70" s="5" t="s">
        <v>50</v>
      </c>
      <c r="B70" s="5"/>
      <c r="C70" s="5" t="s">
        <v>114</v>
      </c>
      <c r="D70" s="5" t="s">
        <v>187</v>
      </c>
      <c r="E70" s="5" t="s">
        <v>211</v>
      </c>
      <c r="F70" s="18">
        <v>4.38</v>
      </c>
      <c r="G70" s="101">
        <v>152</v>
      </c>
      <c r="H70" s="18">
        <f aca="true" t="shared" si="42" ref="H70:H75">F70*AE70</f>
        <v>0</v>
      </c>
      <c r="I70" s="18">
        <f aca="true" t="shared" si="43" ref="I70:I75">J70-H70</f>
        <v>665.76</v>
      </c>
      <c r="J70" s="18">
        <f aca="true" t="shared" si="44" ref="J70:J75">F70*G70</f>
        <v>665.76</v>
      </c>
      <c r="K70" s="18">
        <v>0</v>
      </c>
      <c r="L70" s="18">
        <f aca="true" t="shared" si="45" ref="L70:L75">F70*K70</f>
        <v>0</v>
      </c>
      <c r="M70" s="32" t="s">
        <v>229</v>
      </c>
      <c r="P70" s="36">
        <f aca="true" t="shared" si="46" ref="P70:P75">IF(AG70="5",J70,0)</f>
        <v>665.76</v>
      </c>
      <c r="R70" s="36">
        <f aca="true" t="shared" si="47" ref="R70:R75">IF(AG70="1",H70,0)</f>
        <v>0</v>
      </c>
      <c r="S70" s="36">
        <f aca="true" t="shared" si="48" ref="S70:S75">IF(AG70="1",I70,0)</f>
        <v>0</v>
      </c>
      <c r="T70" s="36">
        <f aca="true" t="shared" si="49" ref="T70:T75">IF(AG70="7",H70,0)</f>
        <v>0</v>
      </c>
      <c r="U70" s="36">
        <f aca="true" t="shared" si="50" ref="U70:U75">IF(AG70="7",I70,0)</f>
        <v>0</v>
      </c>
      <c r="V70" s="36">
        <f aca="true" t="shared" si="51" ref="V70:V75">IF(AG70="2",H70,0)</f>
        <v>0</v>
      </c>
      <c r="W70" s="36">
        <f aca="true" t="shared" si="52" ref="W70:W75">IF(AG70="2",I70,0)</f>
        <v>0</v>
      </c>
      <c r="X70" s="36">
        <f aca="true" t="shared" si="53" ref="X70:X75">IF(AG70="0",J70,0)</f>
        <v>0</v>
      </c>
      <c r="Y70" s="27"/>
      <c r="Z70" s="18">
        <f aca="true" t="shared" si="54" ref="Z70:Z75">IF(AD70=0,J70,0)</f>
        <v>0</v>
      </c>
      <c r="AA70" s="18">
        <f aca="true" t="shared" si="55" ref="AA70:AA75">IF(AD70=15,J70,0)</f>
        <v>0</v>
      </c>
      <c r="AB70" s="18">
        <f aca="true" t="shared" si="56" ref="AB70:AB75">IF(AD70=21,J70,0)</f>
        <v>665.76</v>
      </c>
      <c r="AD70" s="36">
        <v>21</v>
      </c>
      <c r="AE70" s="36">
        <f aca="true" t="shared" si="57" ref="AE70:AE75">G70*0</f>
        <v>0</v>
      </c>
      <c r="AF70" s="36">
        <f aca="true" t="shared" si="58" ref="AF70:AF75">G70*(1-0)</f>
        <v>152</v>
      </c>
      <c r="AG70" s="32" t="s">
        <v>11</v>
      </c>
      <c r="AM70" s="36">
        <f aca="true" t="shared" si="59" ref="AM70:AM75">F70*AE70</f>
        <v>0</v>
      </c>
      <c r="AN70" s="36">
        <f aca="true" t="shared" si="60" ref="AN70:AN75">F70*AF70</f>
        <v>665.76</v>
      </c>
      <c r="AO70" s="37" t="s">
        <v>255</v>
      </c>
      <c r="AP70" s="37" t="s">
        <v>261</v>
      </c>
      <c r="AQ70" s="27" t="s">
        <v>262</v>
      </c>
      <c r="AS70" s="36">
        <f aca="true" t="shared" si="61" ref="AS70:AS75">AM70+AN70</f>
        <v>665.76</v>
      </c>
      <c r="AT70" s="36">
        <f aca="true" t="shared" si="62" ref="AT70:AT75">G70/(100-AU70)*100</f>
        <v>152</v>
      </c>
      <c r="AU70" s="36">
        <v>0</v>
      </c>
      <c r="AV70" s="36">
        <f aca="true" t="shared" si="63" ref="AV70:AV75">L70</f>
        <v>0</v>
      </c>
    </row>
    <row r="71" spans="1:48" ht="12.75">
      <c r="A71" s="5" t="s">
        <v>51</v>
      </c>
      <c r="B71" s="5"/>
      <c r="C71" s="5" t="s">
        <v>115</v>
      </c>
      <c r="D71" s="5" t="s">
        <v>188</v>
      </c>
      <c r="E71" s="5" t="s">
        <v>211</v>
      </c>
      <c r="F71" s="18">
        <v>17.52</v>
      </c>
      <c r="G71" s="101">
        <v>152</v>
      </c>
      <c r="H71" s="18">
        <f t="shared" si="42"/>
        <v>0</v>
      </c>
      <c r="I71" s="18">
        <f t="shared" si="43"/>
        <v>2663.04</v>
      </c>
      <c r="J71" s="18">
        <f t="shared" si="44"/>
        <v>2663.04</v>
      </c>
      <c r="K71" s="18">
        <v>0</v>
      </c>
      <c r="L71" s="18">
        <f t="shared" si="45"/>
        <v>0</v>
      </c>
      <c r="M71" s="32" t="s">
        <v>229</v>
      </c>
      <c r="P71" s="36">
        <f t="shared" si="46"/>
        <v>2663.04</v>
      </c>
      <c r="R71" s="36">
        <f t="shared" si="47"/>
        <v>0</v>
      </c>
      <c r="S71" s="36">
        <f t="shared" si="48"/>
        <v>0</v>
      </c>
      <c r="T71" s="36">
        <f t="shared" si="49"/>
        <v>0</v>
      </c>
      <c r="U71" s="36">
        <f t="shared" si="50"/>
        <v>0</v>
      </c>
      <c r="V71" s="36">
        <f t="shared" si="51"/>
        <v>0</v>
      </c>
      <c r="W71" s="36">
        <f t="shared" si="52"/>
        <v>0</v>
      </c>
      <c r="X71" s="36">
        <f t="shared" si="53"/>
        <v>0</v>
      </c>
      <c r="Y71" s="27"/>
      <c r="Z71" s="18">
        <f t="shared" si="54"/>
        <v>0</v>
      </c>
      <c r="AA71" s="18">
        <f t="shared" si="55"/>
        <v>0</v>
      </c>
      <c r="AB71" s="18">
        <f t="shared" si="56"/>
        <v>2663.04</v>
      </c>
      <c r="AD71" s="36">
        <v>21</v>
      </c>
      <c r="AE71" s="36">
        <f t="shared" si="57"/>
        <v>0</v>
      </c>
      <c r="AF71" s="36">
        <f t="shared" si="58"/>
        <v>152</v>
      </c>
      <c r="AG71" s="32" t="s">
        <v>11</v>
      </c>
      <c r="AM71" s="36">
        <f t="shared" si="59"/>
        <v>0</v>
      </c>
      <c r="AN71" s="36">
        <f t="shared" si="60"/>
        <v>2663.04</v>
      </c>
      <c r="AO71" s="37" t="s">
        <v>255</v>
      </c>
      <c r="AP71" s="37" t="s">
        <v>261</v>
      </c>
      <c r="AQ71" s="27" t="s">
        <v>262</v>
      </c>
      <c r="AS71" s="36">
        <f t="shared" si="61"/>
        <v>2663.04</v>
      </c>
      <c r="AT71" s="36">
        <f t="shared" si="62"/>
        <v>152</v>
      </c>
      <c r="AU71" s="36">
        <v>0</v>
      </c>
      <c r="AV71" s="36">
        <f t="shared" si="63"/>
        <v>0</v>
      </c>
    </row>
    <row r="72" spans="1:48" ht="12.75">
      <c r="A72" s="5" t="s">
        <v>52</v>
      </c>
      <c r="B72" s="5"/>
      <c r="C72" s="5" t="s">
        <v>116</v>
      </c>
      <c r="D72" s="5" t="s">
        <v>189</v>
      </c>
      <c r="E72" s="5" t="s">
        <v>211</v>
      </c>
      <c r="F72" s="18">
        <v>15.01</v>
      </c>
      <c r="G72" s="101">
        <v>64</v>
      </c>
      <c r="H72" s="18">
        <f t="shared" si="42"/>
        <v>0</v>
      </c>
      <c r="I72" s="18">
        <f t="shared" si="43"/>
        <v>960.64</v>
      </c>
      <c r="J72" s="18">
        <f t="shared" si="44"/>
        <v>960.64</v>
      </c>
      <c r="K72" s="18">
        <v>0</v>
      </c>
      <c r="L72" s="18">
        <f t="shared" si="45"/>
        <v>0</v>
      </c>
      <c r="M72" s="32" t="s">
        <v>229</v>
      </c>
      <c r="P72" s="36">
        <f t="shared" si="46"/>
        <v>960.64</v>
      </c>
      <c r="R72" s="36">
        <f t="shared" si="47"/>
        <v>0</v>
      </c>
      <c r="S72" s="36">
        <f t="shared" si="48"/>
        <v>0</v>
      </c>
      <c r="T72" s="36">
        <f t="shared" si="49"/>
        <v>0</v>
      </c>
      <c r="U72" s="36">
        <f t="shared" si="50"/>
        <v>0</v>
      </c>
      <c r="V72" s="36">
        <f t="shared" si="51"/>
        <v>0</v>
      </c>
      <c r="W72" s="36">
        <f t="shared" si="52"/>
        <v>0</v>
      </c>
      <c r="X72" s="36">
        <f t="shared" si="53"/>
        <v>0</v>
      </c>
      <c r="Y72" s="27"/>
      <c r="Z72" s="18">
        <f t="shared" si="54"/>
        <v>0</v>
      </c>
      <c r="AA72" s="18">
        <f t="shared" si="55"/>
        <v>0</v>
      </c>
      <c r="AB72" s="18">
        <f t="shared" si="56"/>
        <v>960.64</v>
      </c>
      <c r="AD72" s="36">
        <v>21</v>
      </c>
      <c r="AE72" s="36">
        <f t="shared" si="57"/>
        <v>0</v>
      </c>
      <c r="AF72" s="36">
        <f t="shared" si="58"/>
        <v>64</v>
      </c>
      <c r="AG72" s="32" t="s">
        <v>11</v>
      </c>
      <c r="AM72" s="36">
        <f t="shared" si="59"/>
        <v>0</v>
      </c>
      <c r="AN72" s="36">
        <f t="shared" si="60"/>
        <v>960.64</v>
      </c>
      <c r="AO72" s="37" t="s">
        <v>255</v>
      </c>
      <c r="AP72" s="37" t="s">
        <v>261</v>
      </c>
      <c r="AQ72" s="27" t="s">
        <v>262</v>
      </c>
      <c r="AS72" s="36">
        <f t="shared" si="61"/>
        <v>960.64</v>
      </c>
      <c r="AT72" s="36">
        <f t="shared" si="62"/>
        <v>64</v>
      </c>
      <c r="AU72" s="36">
        <v>0</v>
      </c>
      <c r="AV72" s="36">
        <f t="shared" si="63"/>
        <v>0</v>
      </c>
    </row>
    <row r="73" spans="1:48" ht="12.75">
      <c r="A73" s="5" t="s">
        <v>53</v>
      </c>
      <c r="B73" s="5"/>
      <c r="C73" s="5" t="s">
        <v>117</v>
      </c>
      <c r="D73" s="5" t="s">
        <v>190</v>
      </c>
      <c r="E73" s="5" t="s">
        <v>211</v>
      </c>
      <c r="F73" s="18">
        <v>75.05</v>
      </c>
      <c r="G73" s="101">
        <v>64</v>
      </c>
      <c r="H73" s="18">
        <f t="shared" si="42"/>
        <v>0</v>
      </c>
      <c r="I73" s="18">
        <f t="shared" si="43"/>
        <v>4803.2</v>
      </c>
      <c r="J73" s="18">
        <f t="shared" si="44"/>
        <v>4803.2</v>
      </c>
      <c r="K73" s="18">
        <v>0</v>
      </c>
      <c r="L73" s="18">
        <f t="shared" si="45"/>
        <v>0</v>
      </c>
      <c r="M73" s="32" t="s">
        <v>229</v>
      </c>
      <c r="P73" s="36">
        <f t="shared" si="46"/>
        <v>4803.2</v>
      </c>
      <c r="R73" s="36">
        <f t="shared" si="47"/>
        <v>0</v>
      </c>
      <c r="S73" s="36">
        <f t="shared" si="48"/>
        <v>0</v>
      </c>
      <c r="T73" s="36">
        <f t="shared" si="49"/>
        <v>0</v>
      </c>
      <c r="U73" s="36">
        <f t="shared" si="50"/>
        <v>0</v>
      </c>
      <c r="V73" s="36">
        <f t="shared" si="51"/>
        <v>0</v>
      </c>
      <c r="W73" s="36">
        <f t="shared" si="52"/>
        <v>0</v>
      </c>
      <c r="X73" s="36">
        <f t="shared" si="53"/>
        <v>0</v>
      </c>
      <c r="Y73" s="27"/>
      <c r="Z73" s="18">
        <f t="shared" si="54"/>
        <v>0</v>
      </c>
      <c r="AA73" s="18">
        <f t="shared" si="55"/>
        <v>0</v>
      </c>
      <c r="AB73" s="18">
        <f t="shared" si="56"/>
        <v>4803.2</v>
      </c>
      <c r="AD73" s="36">
        <v>21</v>
      </c>
      <c r="AE73" s="36">
        <f t="shared" si="57"/>
        <v>0</v>
      </c>
      <c r="AF73" s="36">
        <f t="shared" si="58"/>
        <v>64</v>
      </c>
      <c r="AG73" s="32" t="s">
        <v>11</v>
      </c>
      <c r="AM73" s="36">
        <f t="shared" si="59"/>
        <v>0</v>
      </c>
      <c r="AN73" s="36">
        <f t="shared" si="60"/>
        <v>4803.2</v>
      </c>
      <c r="AO73" s="37" t="s">
        <v>255</v>
      </c>
      <c r="AP73" s="37" t="s">
        <v>261</v>
      </c>
      <c r="AQ73" s="27" t="s">
        <v>262</v>
      </c>
      <c r="AS73" s="36">
        <f t="shared" si="61"/>
        <v>4803.2</v>
      </c>
      <c r="AT73" s="36">
        <f t="shared" si="62"/>
        <v>64</v>
      </c>
      <c r="AU73" s="36">
        <v>0</v>
      </c>
      <c r="AV73" s="36">
        <f t="shared" si="63"/>
        <v>0</v>
      </c>
    </row>
    <row r="74" spans="1:48" ht="12.75">
      <c r="A74" s="5" t="s">
        <v>54</v>
      </c>
      <c r="B74" s="5"/>
      <c r="C74" s="5" t="s">
        <v>118</v>
      </c>
      <c r="D74" s="5" t="s">
        <v>191</v>
      </c>
      <c r="E74" s="5" t="s">
        <v>211</v>
      </c>
      <c r="F74" s="18">
        <v>0.16</v>
      </c>
      <c r="G74" s="101">
        <v>147</v>
      </c>
      <c r="H74" s="18">
        <f t="shared" si="42"/>
        <v>0</v>
      </c>
      <c r="I74" s="18">
        <f t="shared" si="43"/>
        <v>23.52</v>
      </c>
      <c r="J74" s="18">
        <f t="shared" si="44"/>
        <v>23.52</v>
      </c>
      <c r="K74" s="18">
        <v>0</v>
      </c>
      <c r="L74" s="18">
        <f t="shared" si="45"/>
        <v>0</v>
      </c>
      <c r="M74" s="32" t="s">
        <v>229</v>
      </c>
      <c r="P74" s="36">
        <f t="shared" si="46"/>
        <v>23.52</v>
      </c>
      <c r="R74" s="36">
        <f t="shared" si="47"/>
        <v>0</v>
      </c>
      <c r="S74" s="36">
        <f t="shared" si="48"/>
        <v>0</v>
      </c>
      <c r="T74" s="36">
        <f t="shared" si="49"/>
        <v>0</v>
      </c>
      <c r="U74" s="36">
        <f t="shared" si="50"/>
        <v>0</v>
      </c>
      <c r="V74" s="36">
        <f t="shared" si="51"/>
        <v>0</v>
      </c>
      <c r="W74" s="36">
        <f t="shared" si="52"/>
        <v>0</v>
      </c>
      <c r="X74" s="36">
        <f t="shared" si="53"/>
        <v>0</v>
      </c>
      <c r="Y74" s="27"/>
      <c r="Z74" s="18">
        <f t="shared" si="54"/>
        <v>0</v>
      </c>
      <c r="AA74" s="18">
        <f t="shared" si="55"/>
        <v>0</v>
      </c>
      <c r="AB74" s="18">
        <f t="shared" si="56"/>
        <v>23.52</v>
      </c>
      <c r="AD74" s="36">
        <v>21</v>
      </c>
      <c r="AE74" s="36">
        <f t="shared" si="57"/>
        <v>0</v>
      </c>
      <c r="AF74" s="36">
        <f t="shared" si="58"/>
        <v>147</v>
      </c>
      <c r="AG74" s="32" t="s">
        <v>11</v>
      </c>
      <c r="AM74" s="36">
        <f t="shared" si="59"/>
        <v>0</v>
      </c>
      <c r="AN74" s="36">
        <f t="shared" si="60"/>
        <v>23.52</v>
      </c>
      <c r="AO74" s="37" t="s">
        <v>255</v>
      </c>
      <c r="AP74" s="37" t="s">
        <v>261</v>
      </c>
      <c r="AQ74" s="27" t="s">
        <v>262</v>
      </c>
      <c r="AS74" s="36">
        <f t="shared" si="61"/>
        <v>23.52</v>
      </c>
      <c r="AT74" s="36">
        <f t="shared" si="62"/>
        <v>147</v>
      </c>
      <c r="AU74" s="36">
        <v>0</v>
      </c>
      <c r="AV74" s="36">
        <f t="shared" si="63"/>
        <v>0</v>
      </c>
    </row>
    <row r="75" spans="1:48" ht="12.75">
      <c r="A75" s="5" t="s">
        <v>55</v>
      </c>
      <c r="B75" s="5"/>
      <c r="C75" s="5" t="s">
        <v>119</v>
      </c>
      <c r="D75" s="5" t="s">
        <v>192</v>
      </c>
      <c r="E75" s="5" t="s">
        <v>211</v>
      </c>
      <c r="F75" s="18">
        <v>0.96</v>
      </c>
      <c r="G75" s="101">
        <v>147</v>
      </c>
      <c r="H75" s="18">
        <f t="shared" si="42"/>
        <v>0</v>
      </c>
      <c r="I75" s="18">
        <f t="shared" si="43"/>
        <v>141.12</v>
      </c>
      <c r="J75" s="18">
        <f t="shared" si="44"/>
        <v>141.12</v>
      </c>
      <c r="K75" s="18">
        <v>0</v>
      </c>
      <c r="L75" s="18">
        <f t="shared" si="45"/>
        <v>0</v>
      </c>
      <c r="M75" s="32" t="s">
        <v>229</v>
      </c>
      <c r="P75" s="36">
        <f t="shared" si="46"/>
        <v>141.12</v>
      </c>
      <c r="R75" s="36">
        <f t="shared" si="47"/>
        <v>0</v>
      </c>
      <c r="S75" s="36">
        <f t="shared" si="48"/>
        <v>0</v>
      </c>
      <c r="T75" s="36">
        <f t="shared" si="49"/>
        <v>0</v>
      </c>
      <c r="U75" s="36">
        <f t="shared" si="50"/>
        <v>0</v>
      </c>
      <c r="V75" s="36">
        <f t="shared" si="51"/>
        <v>0</v>
      </c>
      <c r="W75" s="36">
        <f t="shared" si="52"/>
        <v>0</v>
      </c>
      <c r="X75" s="36">
        <f t="shared" si="53"/>
        <v>0</v>
      </c>
      <c r="Y75" s="27"/>
      <c r="Z75" s="18">
        <f t="shared" si="54"/>
        <v>0</v>
      </c>
      <c r="AA75" s="18">
        <f t="shared" si="55"/>
        <v>0</v>
      </c>
      <c r="AB75" s="18">
        <f t="shared" si="56"/>
        <v>141.12</v>
      </c>
      <c r="AD75" s="36">
        <v>21</v>
      </c>
      <c r="AE75" s="36">
        <f t="shared" si="57"/>
        <v>0</v>
      </c>
      <c r="AF75" s="36">
        <f t="shared" si="58"/>
        <v>147</v>
      </c>
      <c r="AG75" s="32" t="s">
        <v>11</v>
      </c>
      <c r="AM75" s="36">
        <f t="shared" si="59"/>
        <v>0</v>
      </c>
      <c r="AN75" s="36">
        <f t="shared" si="60"/>
        <v>141.12</v>
      </c>
      <c r="AO75" s="37" t="s">
        <v>255</v>
      </c>
      <c r="AP75" s="37" t="s">
        <v>261</v>
      </c>
      <c r="AQ75" s="27" t="s">
        <v>262</v>
      </c>
      <c r="AS75" s="36">
        <f t="shared" si="61"/>
        <v>141.12</v>
      </c>
      <c r="AT75" s="36">
        <f t="shared" si="62"/>
        <v>147</v>
      </c>
      <c r="AU75" s="36">
        <v>0</v>
      </c>
      <c r="AV75" s="36">
        <f t="shared" si="63"/>
        <v>0</v>
      </c>
    </row>
    <row r="76" spans="1:37" ht="12.75">
      <c r="A76" s="6"/>
      <c r="B76" s="14"/>
      <c r="C76" s="14" t="s">
        <v>120</v>
      </c>
      <c r="D76" s="14" t="s">
        <v>193</v>
      </c>
      <c r="E76" s="6" t="s">
        <v>6</v>
      </c>
      <c r="F76" s="6" t="s">
        <v>6</v>
      </c>
      <c r="G76" s="6"/>
      <c r="H76" s="39">
        <f>SUM(H77:H82)</f>
        <v>42.70660089989944</v>
      </c>
      <c r="I76" s="39">
        <f>SUM(I77:I82)</f>
        <v>61187.1933991001</v>
      </c>
      <c r="J76" s="39">
        <f>H76+I76</f>
        <v>61229.9</v>
      </c>
      <c r="K76" s="27"/>
      <c r="L76" s="39">
        <f>SUM(L77:L82)</f>
        <v>0</v>
      </c>
      <c r="M76" s="27"/>
      <c r="Y76" s="27"/>
      <c r="AI76" s="39">
        <f>SUM(Z77:Z82)</f>
        <v>0</v>
      </c>
      <c r="AJ76" s="39">
        <f>SUM(AA77:AA82)</f>
        <v>0</v>
      </c>
      <c r="AK76" s="39">
        <f>SUM(AB77:AB82)</f>
        <v>61229.899999999994</v>
      </c>
    </row>
    <row r="77" spans="1:48" ht="12.75">
      <c r="A77" s="5" t="s">
        <v>56</v>
      </c>
      <c r="B77" s="5"/>
      <c r="C77" s="5" t="s">
        <v>121</v>
      </c>
      <c r="D77" s="5" t="s">
        <v>194</v>
      </c>
      <c r="E77" s="5" t="s">
        <v>211</v>
      </c>
      <c r="F77" s="18">
        <v>28.37</v>
      </c>
      <c r="G77" s="101">
        <v>234</v>
      </c>
      <c r="H77" s="18">
        <f aca="true" t="shared" si="64" ref="H77:H82">F77*AE77</f>
        <v>0</v>
      </c>
      <c r="I77" s="18">
        <f aca="true" t="shared" si="65" ref="I77:I82">J77-H77</f>
        <v>6638.58</v>
      </c>
      <c r="J77" s="18">
        <f aca="true" t="shared" si="66" ref="J77:J82">F77*G77</f>
        <v>6638.58</v>
      </c>
      <c r="K77" s="18">
        <v>0</v>
      </c>
      <c r="L77" s="18">
        <f aca="true" t="shared" si="67" ref="L77:L82">F77*K77</f>
        <v>0</v>
      </c>
      <c r="M77" s="32" t="s">
        <v>229</v>
      </c>
      <c r="P77" s="36">
        <f aca="true" t="shared" si="68" ref="P77:P82">IF(AG77="5",J77,0)</f>
        <v>6638.58</v>
      </c>
      <c r="R77" s="36">
        <f aca="true" t="shared" si="69" ref="R77:R82">IF(AG77="1",H77,0)</f>
        <v>0</v>
      </c>
      <c r="S77" s="36">
        <f aca="true" t="shared" si="70" ref="S77:S82">IF(AG77="1",I77,0)</f>
        <v>0</v>
      </c>
      <c r="T77" s="36">
        <f aca="true" t="shared" si="71" ref="T77:T82">IF(AG77="7",H77,0)</f>
        <v>0</v>
      </c>
      <c r="U77" s="36">
        <f aca="true" t="shared" si="72" ref="U77:U82">IF(AG77="7",I77,0)</f>
        <v>0</v>
      </c>
      <c r="V77" s="36">
        <f aca="true" t="shared" si="73" ref="V77:V82">IF(AG77="2",H77,0)</f>
        <v>0</v>
      </c>
      <c r="W77" s="36">
        <f aca="true" t="shared" si="74" ref="W77:W82">IF(AG77="2",I77,0)</f>
        <v>0</v>
      </c>
      <c r="X77" s="36">
        <f aca="true" t="shared" si="75" ref="X77:X82">IF(AG77="0",J77,0)</f>
        <v>0</v>
      </c>
      <c r="Y77" s="27"/>
      <c r="Z77" s="18">
        <f aca="true" t="shared" si="76" ref="Z77:Z82">IF(AD77=0,J77,0)</f>
        <v>0</v>
      </c>
      <c r="AA77" s="18">
        <f aca="true" t="shared" si="77" ref="AA77:AA82">IF(AD77=15,J77,0)</f>
        <v>0</v>
      </c>
      <c r="AB77" s="18">
        <f aca="true" t="shared" si="78" ref="AB77:AB82">IF(AD77=21,J77,0)</f>
        <v>6638.58</v>
      </c>
      <c r="AD77" s="36">
        <v>21</v>
      </c>
      <c r="AE77" s="36">
        <f>G77*0</f>
        <v>0</v>
      </c>
      <c r="AF77" s="36">
        <f>G77*(1-0)</f>
        <v>234</v>
      </c>
      <c r="AG77" s="32" t="s">
        <v>11</v>
      </c>
      <c r="AM77" s="36">
        <f aca="true" t="shared" si="79" ref="AM77:AM82">F77*AE77</f>
        <v>0</v>
      </c>
      <c r="AN77" s="36">
        <f aca="true" t="shared" si="80" ref="AN77:AN82">F77*AF77</f>
        <v>6638.58</v>
      </c>
      <c r="AO77" s="37" t="s">
        <v>256</v>
      </c>
      <c r="AP77" s="37" t="s">
        <v>261</v>
      </c>
      <c r="AQ77" s="27" t="s">
        <v>262</v>
      </c>
      <c r="AS77" s="36">
        <f aca="true" t="shared" si="81" ref="AS77:AS82">AM77+AN77</f>
        <v>6638.58</v>
      </c>
      <c r="AT77" s="36">
        <f aca="true" t="shared" si="82" ref="AT77:AT82">G77/(100-AU77)*100</f>
        <v>234</v>
      </c>
      <c r="AU77" s="36">
        <v>0</v>
      </c>
      <c r="AV77" s="36">
        <f aca="true" t="shared" si="83" ref="AV77:AV82">L77</f>
        <v>0</v>
      </c>
    </row>
    <row r="78" spans="1:48" ht="12.75">
      <c r="A78" s="5" t="s">
        <v>57</v>
      </c>
      <c r="B78" s="5"/>
      <c r="C78" s="5" t="s">
        <v>122</v>
      </c>
      <c r="D78" s="5" t="s">
        <v>195</v>
      </c>
      <c r="E78" s="5" t="s">
        <v>211</v>
      </c>
      <c r="F78" s="18">
        <v>28.37</v>
      </c>
      <c r="G78" s="101">
        <v>20</v>
      </c>
      <c r="H78" s="18">
        <f t="shared" si="64"/>
        <v>0</v>
      </c>
      <c r="I78" s="18">
        <f t="shared" si="65"/>
        <v>567.4</v>
      </c>
      <c r="J78" s="18">
        <f t="shared" si="66"/>
        <v>567.4</v>
      </c>
      <c r="K78" s="18">
        <v>0</v>
      </c>
      <c r="L78" s="18">
        <f t="shared" si="67"/>
        <v>0</v>
      </c>
      <c r="M78" s="32" t="s">
        <v>229</v>
      </c>
      <c r="P78" s="36">
        <f t="shared" si="68"/>
        <v>567.4</v>
      </c>
      <c r="R78" s="36">
        <f t="shared" si="69"/>
        <v>0</v>
      </c>
      <c r="S78" s="36">
        <f t="shared" si="70"/>
        <v>0</v>
      </c>
      <c r="T78" s="36">
        <f t="shared" si="71"/>
        <v>0</v>
      </c>
      <c r="U78" s="36">
        <f t="shared" si="72"/>
        <v>0</v>
      </c>
      <c r="V78" s="36">
        <f t="shared" si="73"/>
        <v>0</v>
      </c>
      <c r="W78" s="36">
        <f t="shared" si="74"/>
        <v>0</v>
      </c>
      <c r="X78" s="36">
        <f t="shared" si="75"/>
        <v>0</v>
      </c>
      <c r="Y78" s="27"/>
      <c r="Z78" s="18">
        <f t="shared" si="76"/>
        <v>0</v>
      </c>
      <c r="AA78" s="18">
        <f t="shared" si="77"/>
        <v>0</v>
      </c>
      <c r="AB78" s="18">
        <f t="shared" si="78"/>
        <v>567.4</v>
      </c>
      <c r="AD78" s="36">
        <v>21</v>
      </c>
      <c r="AE78" s="36">
        <f>G78*0</f>
        <v>0</v>
      </c>
      <c r="AF78" s="36">
        <f>G78*(1-0)</f>
        <v>20</v>
      </c>
      <c r="AG78" s="32" t="s">
        <v>11</v>
      </c>
      <c r="AM78" s="36">
        <f t="shared" si="79"/>
        <v>0</v>
      </c>
      <c r="AN78" s="36">
        <f t="shared" si="80"/>
        <v>567.4</v>
      </c>
      <c r="AO78" s="37" t="s">
        <v>256</v>
      </c>
      <c r="AP78" s="37" t="s">
        <v>261</v>
      </c>
      <c r="AQ78" s="27" t="s">
        <v>262</v>
      </c>
      <c r="AS78" s="36">
        <f t="shared" si="81"/>
        <v>567.4</v>
      </c>
      <c r="AT78" s="36">
        <f t="shared" si="82"/>
        <v>20</v>
      </c>
      <c r="AU78" s="36">
        <v>0</v>
      </c>
      <c r="AV78" s="36">
        <f t="shared" si="83"/>
        <v>0</v>
      </c>
    </row>
    <row r="79" spans="1:48" ht="12.75">
      <c r="A79" s="5" t="s">
        <v>58</v>
      </c>
      <c r="B79" s="5"/>
      <c r="C79" s="5" t="s">
        <v>123</v>
      </c>
      <c r="D79" s="5" t="s">
        <v>196</v>
      </c>
      <c r="E79" s="5" t="s">
        <v>211</v>
      </c>
      <c r="F79" s="18">
        <v>1.58</v>
      </c>
      <c r="G79" s="101">
        <v>731</v>
      </c>
      <c r="H79" s="18">
        <f t="shared" si="64"/>
        <v>0</v>
      </c>
      <c r="I79" s="18">
        <f t="shared" si="65"/>
        <v>1154.98</v>
      </c>
      <c r="J79" s="18">
        <f t="shared" si="66"/>
        <v>1154.98</v>
      </c>
      <c r="K79" s="18">
        <v>0</v>
      </c>
      <c r="L79" s="18">
        <f t="shared" si="67"/>
        <v>0</v>
      </c>
      <c r="M79" s="32" t="s">
        <v>229</v>
      </c>
      <c r="P79" s="36">
        <f t="shared" si="68"/>
        <v>1154.98</v>
      </c>
      <c r="R79" s="36">
        <f t="shared" si="69"/>
        <v>0</v>
      </c>
      <c r="S79" s="36">
        <f t="shared" si="70"/>
        <v>0</v>
      </c>
      <c r="T79" s="36">
        <f t="shared" si="71"/>
        <v>0</v>
      </c>
      <c r="U79" s="36">
        <f t="shared" si="72"/>
        <v>0</v>
      </c>
      <c r="V79" s="36">
        <f t="shared" si="73"/>
        <v>0</v>
      </c>
      <c r="W79" s="36">
        <f t="shared" si="74"/>
        <v>0</v>
      </c>
      <c r="X79" s="36">
        <f t="shared" si="75"/>
        <v>0</v>
      </c>
      <c r="Y79" s="27"/>
      <c r="Z79" s="18">
        <f t="shared" si="76"/>
        <v>0</v>
      </c>
      <c r="AA79" s="18">
        <f t="shared" si="77"/>
        <v>0</v>
      </c>
      <c r="AB79" s="18">
        <f t="shared" si="78"/>
        <v>1154.98</v>
      </c>
      <c r="AD79" s="36">
        <v>21</v>
      </c>
      <c r="AE79" s="36">
        <f>G79*0</f>
        <v>0</v>
      </c>
      <c r="AF79" s="36">
        <f>G79*(1-0)</f>
        <v>731</v>
      </c>
      <c r="AG79" s="32" t="s">
        <v>11</v>
      </c>
      <c r="AM79" s="36">
        <f t="shared" si="79"/>
        <v>0</v>
      </c>
      <c r="AN79" s="36">
        <f t="shared" si="80"/>
        <v>1154.98</v>
      </c>
      <c r="AO79" s="37" t="s">
        <v>256</v>
      </c>
      <c r="AP79" s="37" t="s">
        <v>261</v>
      </c>
      <c r="AQ79" s="27" t="s">
        <v>262</v>
      </c>
      <c r="AS79" s="36">
        <f t="shared" si="81"/>
        <v>1154.98</v>
      </c>
      <c r="AT79" s="36">
        <f t="shared" si="82"/>
        <v>731</v>
      </c>
      <c r="AU79" s="36">
        <v>0</v>
      </c>
      <c r="AV79" s="36">
        <f t="shared" si="83"/>
        <v>0</v>
      </c>
    </row>
    <row r="80" spans="1:48" ht="12.75">
      <c r="A80" s="5" t="s">
        <v>59</v>
      </c>
      <c r="B80" s="5"/>
      <c r="C80" s="5" t="s">
        <v>124</v>
      </c>
      <c r="D80" s="5" t="s">
        <v>197</v>
      </c>
      <c r="E80" s="5" t="s">
        <v>211</v>
      </c>
      <c r="F80" s="18">
        <v>28.37</v>
      </c>
      <c r="G80" s="101">
        <v>161</v>
      </c>
      <c r="H80" s="18">
        <f t="shared" si="64"/>
        <v>42.70660089989944</v>
      </c>
      <c r="I80" s="18">
        <f t="shared" si="65"/>
        <v>4524.863399100101</v>
      </c>
      <c r="J80" s="18">
        <f t="shared" si="66"/>
        <v>4567.57</v>
      </c>
      <c r="K80" s="18">
        <v>0</v>
      </c>
      <c r="L80" s="18">
        <f t="shared" si="67"/>
        <v>0</v>
      </c>
      <c r="M80" s="32" t="s">
        <v>229</v>
      </c>
      <c r="P80" s="36">
        <f t="shared" si="68"/>
        <v>4567.57</v>
      </c>
      <c r="R80" s="36">
        <f t="shared" si="69"/>
        <v>0</v>
      </c>
      <c r="S80" s="36">
        <f t="shared" si="70"/>
        <v>0</v>
      </c>
      <c r="T80" s="36">
        <f t="shared" si="71"/>
        <v>0</v>
      </c>
      <c r="U80" s="36">
        <f t="shared" si="72"/>
        <v>0</v>
      </c>
      <c r="V80" s="36">
        <f t="shared" si="73"/>
        <v>0</v>
      </c>
      <c r="W80" s="36">
        <f t="shared" si="74"/>
        <v>0</v>
      </c>
      <c r="X80" s="36">
        <f t="shared" si="75"/>
        <v>0</v>
      </c>
      <c r="Y80" s="27"/>
      <c r="Z80" s="18">
        <f t="shared" si="76"/>
        <v>0</v>
      </c>
      <c r="AA80" s="18">
        <f t="shared" si="77"/>
        <v>0</v>
      </c>
      <c r="AB80" s="18">
        <f t="shared" si="78"/>
        <v>4567.57</v>
      </c>
      <c r="AD80" s="36">
        <v>21</v>
      </c>
      <c r="AE80" s="36">
        <f>G80*0.00934996089822366</f>
        <v>1.5053437046140092</v>
      </c>
      <c r="AF80" s="36">
        <f>G80*(1-0.00934996089822366)</f>
        <v>159.494656295386</v>
      </c>
      <c r="AG80" s="32" t="s">
        <v>11</v>
      </c>
      <c r="AM80" s="36">
        <f t="shared" si="79"/>
        <v>42.70660089989944</v>
      </c>
      <c r="AN80" s="36">
        <f t="shared" si="80"/>
        <v>4524.863399100101</v>
      </c>
      <c r="AO80" s="37" t="s">
        <v>256</v>
      </c>
      <c r="AP80" s="37" t="s">
        <v>261</v>
      </c>
      <c r="AQ80" s="27" t="s">
        <v>262</v>
      </c>
      <c r="AS80" s="36">
        <f t="shared" si="81"/>
        <v>4567.57</v>
      </c>
      <c r="AT80" s="36">
        <f t="shared" si="82"/>
        <v>161</v>
      </c>
      <c r="AU80" s="36">
        <v>0</v>
      </c>
      <c r="AV80" s="36">
        <f t="shared" si="83"/>
        <v>0</v>
      </c>
    </row>
    <row r="81" spans="1:48" ht="12.75">
      <c r="A81" s="5" t="s">
        <v>60</v>
      </c>
      <c r="B81" s="5"/>
      <c r="C81" s="5" t="s">
        <v>125</v>
      </c>
      <c r="D81" s="5" t="s">
        <v>198</v>
      </c>
      <c r="E81" s="5" t="s">
        <v>211</v>
      </c>
      <c r="F81" s="18">
        <v>226.96</v>
      </c>
      <c r="G81" s="101">
        <v>161</v>
      </c>
      <c r="H81" s="18">
        <f t="shared" si="64"/>
        <v>0</v>
      </c>
      <c r="I81" s="18">
        <f t="shared" si="65"/>
        <v>36540.56</v>
      </c>
      <c r="J81" s="18">
        <f t="shared" si="66"/>
        <v>36540.56</v>
      </c>
      <c r="K81" s="18">
        <v>0</v>
      </c>
      <c r="L81" s="18">
        <f t="shared" si="67"/>
        <v>0</v>
      </c>
      <c r="M81" s="32" t="s">
        <v>229</v>
      </c>
      <c r="P81" s="36">
        <f t="shared" si="68"/>
        <v>36540.56</v>
      </c>
      <c r="R81" s="36">
        <f t="shared" si="69"/>
        <v>0</v>
      </c>
      <c r="S81" s="36">
        <f t="shared" si="70"/>
        <v>0</v>
      </c>
      <c r="T81" s="36">
        <f t="shared" si="71"/>
        <v>0</v>
      </c>
      <c r="U81" s="36">
        <f t="shared" si="72"/>
        <v>0</v>
      </c>
      <c r="V81" s="36">
        <f t="shared" si="73"/>
        <v>0</v>
      </c>
      <c r="W81" s="36">
        <f t="shared" si="74"/>
        <v>0</v>
      </c>
      <c r="X81" s="36">
        <f t="shared" si="75"/>
        <v>0</v>
      </c>
      <c r="Y81" s="27"/>
      <c r="Z81" s="18">
        <f t="shared" si="76"/>
        <v>0</v>
      </c>
      <c r="AA81" s="18">
        <f t="shared" si="77"/>
        <v>0</v>
      </c>
      <c r="AB81" s="18">
        <f t="shared" si="78"/>
        <v>36540.56</v>
      </c>
      <c r="AD81" s="36">
        <v>21</v>
      </c>
      <c r="AE81" s="36">
        <f>G81*0</f>
        <v>0</v>
      </c>
      <c r="AF81" s="36">
        <f>G81*(1-0)</f>
        <v>161</v>
      </c>
      <c r="AG81" s="32" t="s">
        <v>11</v>
      </c>
      <c r="AM81" s="36">
        <f t="shared" si="79"/>
        <v>0</v>
      </c>
      <c r="AN81" s="36">
        <f t="shared" si="80"/>
        <v>36540.56</v>
      </c>
      <c r="AO81" s="37" t="s">
        <v>256</v>
      </c>
      <c r="AP81" s="37" t="s">
        <v>261</v>
      </c>
      <c r="AQ81" s="27" t="s">
        <v>262</v>
      </c>
      <c r="AS81" s="36">
        <f t="shared" si="81"/>
        <v>36540.56</v>
      </c>
      <c r="AT81" s="36">
        <f t="shared" si="82"/>
        <v>161</v>
      </c>
      <c r="AU81" s="36">
        <v>0</v>
      </c>
      <c r="AV81" s="36">
        <f t="shared" si="83"/>
        <v>0</v>
      </c>
    </row>
    <row r="82" spans="1:48" ht="12.75">
      <c r="A82" s="8" t="s">
        <v>61</v>
      </c>
      <c r="B82" s="8"/>
      <c r="C82" s="8" t="s">
        <v>126</v>
      </c>
      <c r="D82" s="8" t="s">
        <v>199</v>
      </c>
      <c r="E82" s="8" t="s">
        <v>211</v>
      </c>
      <c r="F82" s="20">
        <v>26.79</v>
      </c>
      <c r="G82" s="103">
        <v>439</v>
      </c>
      <c r="H82" s="20">
        <f t="shared" si="64"/>
        <v>0</v>
      </c>
      <c r="I82" s="20">
        <f t="shared" si="65"/>
        <v>11760.81</v>
      </c>
      <c r="J82" s="20">
        <f t="shared" si="66"/>
        <v>11760.81</v>
      </c>
      <c r="K82" s="20">
        <v>0</v>
      </c>
      <c r="L82" s="20">
        <f t="shared" si="67"/>
        <v>0</v>
      </c>
      <c r="M82" s="34" t="s">
        <v>230</v>
      </c>
      <c r="P82" s="36">
        <f t="shared" si="68"/>
        <v>11760.81</v>
      </c>
      <c r="R82" s="36">
        <f t="shared" si="69"/>
        <v>0</v>
      </c>
      <c r="S82" s="36">
        <f t="shared" si="70"/>
        <v>0</v>
      </c>
      <c r="T82" s="36">
        <f t="shared" si="71"/>
        <v>0</v>
      </c>
      <c r="U82" s="36">
        <f t="shared" si="72"/>
        <v>0</v>
      </c>
      <c r="V82" s="36">
        <f t="shared" si="73"/>
        <v>0</v>
      </c>
      <c r="W82" s="36">
        <f t="shared" si="74"/>
        <v>0</v>
      </c>
      <c r="X82" s="36">
        <f t="shared" si="75"/>
        <v>0</v>
      </c>
      <c r="Y82" s="27"/>
      <c r="Z82" s="18">
        <f t="shared" si="76"/>
        <v>0</v>
      </c>
      <c r="AA82" s="18">
        <f t="shared" si="77"/>
        <v>0</v>
      </c>
      <c r="AB82" s="18">
        <f t="shared" si="78"/>
        <v>11760.81</v>
      </c>
      <c r="AD82" s="36">
        <v>21</v>
      </c>
      <c r="AE82" s="36">
        <f>G82*0</f>
        <v>0</v>
      </c>
      <c r="AF82" s="36">
        <f>G82*(1-0)</f>
        <v>439</v>
      </c>
      <c r="AG82" s="32" t="s">
        <v>11</v>
      </c>
      <c r="AM82" s="36">
        <f t="shared" si="79"/>
        <v>0</v>
      </c>
      <c r="AN82" s="36">
        <f t="shared" si="80"/>
        <v>11760.81</v>
      </c>
      <c r="AO82" s="37" t="s">
        <v>256</v>
      </c>
      <c r="AP82" s="37" t="s">
        <v>261</v>
      </c>
      <c r="AQ82" s="27" t="s">
        <v>262</v>
      </c>
      <c r="AS82" s="36">
        <f t="shared" si="81"/>
        <v>11760.81</v>
      </c>
      <c r="AT82" s="36">
        <f t="shared" si="82"/>
        <v>438.99999999999994</v>
      </c>
      <c r="AU82" s="36">
        <v>0</v>
      </c>
      <c r="AV82" s="36">
        <f t="shared" si="83"/>
        <v>0</v>
      </c>
    </row>
    <row r="83" spans="1:13" ht="12.75">
      <c r="A83" s="9"/>
      <c r="B83" s="9"/>
      <c r="C83" s="9"/>
      <c r="D83" s="9"/>
      <c r="E83" s="9"/>
      <c r="F83" s="9"/>
      <c r="G83" s="9"/>
      <c r="H83" s="158" t="s">
        <v>217</v>
      </c>
      <c r="I83" s="111"/>
      <c r="J83" s="40">
        <f>ROUND(J12+J15+J21+J23+J25+J27+J31+J33+J35+J38+J41+J50+J53+J67+J69+J76,0)</f>
        <v>211819</v>
      </c>
      <c r="K83" s="9"/>
      <c r="L83" s="9"/>
      <c r="M83" s="9"/>
    </row>
    <row r="84" ht="11.25" customHeight="1">
      <c r="A84" s="10" t="s">
        <v>62</v>
      </c>
    </row>
  </sheetData>
  <sheetProtection password="CB35" sheet="1"/>
  <mergeCells count="28">
    <mergeCell ref="H10:J10"/>
    <mergeCell ref="K10:L10"/>
    <mergeCell ref="H83:I83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1.57421875" style="0" customWidth="1"/>
    <col min="3" max="3" width="0.2890625" style="0" customWidth="1"/>
    <col min="4" max="4" width="6.7109375" style="0" customWidth="1"/>
    <col min="5" max="5" width="2.00390625" style="0" customWidth="1"/>
    <col min="6" max="6" width="0.9921875" style="0" customWidth="1"/>
    <col min="7" max="7" width="2.57421875" style="0" customWidth="1"/>
    <col min="8" max="8" width="5.421875" style="0" hidden="1" customWidth="1"/>
    <col min="9" max="9" width="5.421875" style="0" customWidth="1"/>
    <col min="10" max="10" width="7.57421875" style="0" customWidth="1"/>
    <col min="11" max="11" width="2.421875" style="0" customWidth="1"/>
    <col min="12" max="12" width="0.5625" style="0" customWidth="1"/>
    <col min="13" max="13" width="0" style="0" hidden="1" customWidth="1"/>
    <col min="14" max="14" width="2.140625" style="0" customWidth="1"/>
    <col min="15" max="15" width="12.00390625" style="0" customWidth="1"/>
    <col min="16" max="16" width="1.1484375" style="0" customWidth="1"/>
    <col min="17" max="17" width="15.7109375" style="0" customWidth="1"/>
    <col min="18" max="18" width="8.00390625" style="0" customWidth="1"/>
    <col min="19" max="19" width="0.5625" style="0" customWidth="1"/>
    <col min="20" max="20" width="2.140625" style="0" customWidth="1"/>
    <col min="21" max="21" width="15.421875" style="0" customWidth="1"/>
    <col min="22" max="22" width="4.28125" style="0" customWidth="1"/>
    <col min="23" max="23" width="9.8515625" style="0" customWidth="1"/>
    <col min="24" max="24" width="0" style="0" hidden="1" customWidth="1"/>
    <col min="25" max="25" width="1.28515625" style="0" customWidth="1"/>
    <col min="26" max="27" width="0.5625" style="0" customWidth="1"/>
  </cols>
  <sheetData>
    <row r="1" spans="1:27" ht="22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162" t="s">
        <v>332</v>
      </c>
      <c r="M1" s="163"/>
      <c r="N1" s="163"/>
      <c r="O1" s="163"/>
      <c r="P1" s="163"/>
      <c r="Q1" s="163"/>
      <c r="R1" s="163"/>
      <c r="S1" s="163"/>
      <c r="T1" s="163"/>
      <c r="U1" s="72"/>
      <c r="V1" s="72"/>
      <c r="W1" s="72"/>
      <c r="X1" s="72"/>
      <c r="Y1" s="72"/>
      <c r="Z1" s="72"/>
      <c r="AA1" s="72"/>
    </row>
    <row r="2" spans="1:27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64" t="s">
        <v>333</v>
      </c>
      <c r="P2" s="163"/>
      <c r="Q2" s="163"/>
      <c r="R2" s="163"/>
      <c r="S2" s="72"/>
      <c r="T2" s="72"/>
      <c r="U2" s="72"/>
      <c r="V2" s="72"/>
      <c r="W2" s="72"/>
      <c r="X2" s="72"/>
      <c r="Y2" s="72"/>
      <c r="Z2" s="72"/>
      <c r="AA2" s="72"/>
    </row>
    <row r="3" spans="1:27" ht="15">
      <c r="A3" s="72"/>
      <c r="B3" s="72"/>
      <c r="C3" s="72"/>
      <c r="D3" s="72"/>
      <c r="E3" s="72"/>
      <c r="F3" s="72"/>
      <c r="G3" s="164" t="s">
        <v>334</v>
      </c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72"/>
      <c r="X3" s="72"/>
      <c r="Y3" s="72"/>
      <c r="Z3" s="72"/>
      <c r="AA3" s="72"/>
    </row>
    <row r="4" spans="1:27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ht="15">
      <c r="A6" s="165" t="s">
        <v>335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</row>
    <row r="7" spans="1:27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ht="1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ht="15">
      <c r="A9" s="72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2"/>
      <c r="AA9" s="72"/>
    </row>
    <row r="10" spans="1:27" ht="15">
      <c r="A10" s="72"/>
      <c r="B10" s="77"/>
      <c r="C10" s="78"/>
      <c r="D10" s="166" t="s">
        <v>336</v>
      </c>
      <c r="E10" s="167"/>
      <c r="F10" s="167"/>
      <c r="G10" s="167"/>
      <c r="H10" s="167"/>
      <c r="I10" s="167"/>
      <c r="J10" s="168" t="s">
        <v>337</v>
      </c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78"/>
      <c r="Y10" s="79"/>
      <c r="Z10" s="72"/>
      <c r="AA10" s="72"/>
    </row>
    <row r="11" spans="1:27" ht="15">
      <c r="A11" s="72"/>
      <c r="B11" s="77"/>
      <c r="C11" s="78"/>
      <c r="D11" s="166" t="s">
        <v>338</v>
      </c>
      <c r="E11" s="167"/>
      <c r="F11" s="167"/>
      <c r="G11" s="167"/>
      <c r="H11" s="167"/>
      <c r="I11" s="167"/>
      <c r="J11" s="168" t="s">
        <v>339</v>
      </c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78"/>
      <c r="Y11" s="79"/>
      <c r="Z11" s="72"/>
      <c r="AA11" s="72"/>
    </row>
    <row r="12" spans="1:27" ht="15">
      <c r="A12" s="72"/>
      <c r="B12" s="77"/>
      <c r="C12" s="78"/>
      <c r="D12" s="166" t="s">
        <v>340</v>
      </c>
      <c r="E12" s="167"/>
      <c r="F12" s="167"/>
      <c r="G12" s="167"/>
      <c r="H12" s="167"/>
      <c r="I12" s="167"/>
      <c r="J12" s="168" t="s">
        <v>341</v>
      </c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78"/>
      <c r="Y12" s="79"/>
      <c r="Z12" s="72"/>
      <c r="AA12" s="72"/>
    </row>
    <row r="13" spans="1:27" ht="15">
      <c r="A13" s="72"/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Z13" s="72"/>
      <c r="AA13" s="72"/>
    </row>
    <row r="14" spans="1:27" ht="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ht="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ht="15">
      <c r="A18" s="72"/>
      <c r="B18" s="169" t="s">
        <v>342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72"/>
    </row>
    <row r="19" spans="1:27" ht="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ht="15">
      <c r="A20" s="72"/>
      <c r="B20" s="170" t="s">
        <v>343</v>
      </c>
      <c r="C20" s="171"/>
      <c r="D20" s="171"/>
      <c r="E20" s="172" t="s">
        <v>344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0" t="s">
        <v>345</v>
      </c>
      <c r="U20" s="171"/>
      <c r="V20" s="170" t="s">
        <v>346</v>
      </c>
      <c r="W20" s="171"/>
      <c r="X20" s="171"/>
      <c r="Y20" s="171"/>
      <c r="Z20" s="171"/>
      <c r="AA20" s="72"/>
    </row>
    <row r="21" spans="1:27" ht="15">
      <c r="A21" s="72"/>
      <c r="B21" s="173" t="s">
        <v>347</v>
      </c>
      <c r="C21" s="163"/>
      <c r="D21" s="163"/>
      <c r="E21" s="174" t="s">
        <v>348</v>
      </c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75" t="s">
        <v>340</v>
      </c>
      <c r="U21" s="163"/>
      <c r="V21" s="175" t="s">
        <v>340</v>
      </c>
      <c r="W21" s="163"/>
      <c r="X21" s="163"/>
      <c r="Y21" s="163"/>
      <c r="Z21" s="163"/>
      <c r="AA21" s="72"/>
    </row>
    <row r="22" spans="1:27" ht="15">
      <c r="A22" s="72"/>
      <c r="B22" s="176" t="s">
        <v>349</v>
      </c>
      <c r="C22" s="163"/>
      <c r="D22" s="163"/>
      <c r="E22" s="177" t="s">
        <v>350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76">
        <f>'Rozpočet VO'!AA32</f>
        <v>27104</v>
      </c>
      <c r="U22" s="163"/>
      <c r="V22" s="176">
        <f aca="true" t="shared" si="0" ref="V22:V28">T22</f>
        <v>27104</v>
      </c>
      <c r="W22" s="163"/>
      <c r="X22" s="163"/>
      <c r="Y22" s="163"/>
      <c r="Z22" s="163"/>
      <c r="AA22" s="72"/>
    </row>
    <row r="23" spans="1:27" ht="15">
      <c r="A23" s="72"/>
      <c r="B23" s="176" t="s">
        <v>351</v>
      </c>
      <c r="C23" s="163"/>
      <c r="D23" s="163"/>
      <c r="E23" s="177" t="s">
        <v>352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76">
        <f>(T22/100)*4.8</f>
        <v>1300.992</v>
      </c>
      <c r="U23" s="163"/>
      <c r="V23" s="176">
        <f t="shared" si="0"/>
        <v>1300.992</v>
      </c>
      <c r="W23" s="163"/>
      <c r="X23" s="163"/>
      <c r="Y23" s="163"/>
      <c r="Z23" s="163"/>
      <c r="AA23" s="72"/>
    </row>
    <row r="24" spans="1:27" ht="15">
      <c r="A24" s="72"/>
      <c r="B24" s="176" t="s">
        <v>353</v>
      </c>
      <c r="C24" s="163"/>
      <c r="D24" s="163"/>
      <c r="E24" s="177" t="s">
        <v>354</v>
      </c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76">
        <f>'Rozpočet VO'!AA61</f>
        <v>13564.5</v>
      </c>
      <c r="U24" s="163"/>
      <c r="V24" s="176">
        <f t="shared" si="0"/>
        <v>13564.5</v>
      </c>
      <c r="W24" s="163"/>
      <c r="X24" s="163"/>
      <c r="Y24" s="163"/>
      <c r="Z24" s="163"/>
      <c r="AA24" s="72"/>
    </row>
    <row r="25" spans="1:27" ht="15">
      <c r="A25" s="72"/>
      <c r="B25" s="176" t="s">
        <v>355</v>
      </c>
      <c r="C25" s="163"/>
      <c r="D25" s="163"/>
      <c r="E25" s="177" t="s">
        <v>356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76">
        <f>(T24/100)*1.6</f>
        <v>217.03200000000004</v>
      </c>
      <c r="U25" s="163"/>
      <c r="V25" s="176">
        <f t="shared" si="0"/>
        <v>217.03200000000004</v>
      </c>
      <c r="W25" s="163"/>
      <c r="X25" s="163"/>
      <c r="Y25" s="163"/>
      <c r="Z25" s="163"/>
      <c r="AA25" s="72"/>
    </row>
    <row r="26" spans="1:27" ht="15">
      <c r="A26" s="72"/>
      <c r="B26" s="176" t="s">
        <v>357</v>
      </c>
      <c r="C26" s="163"/>
      <c r="D26" s="163"/>
      <c r="E26" s="177" t="s">
        <v>358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76">
        <f>'Rozpočet VO'!AA96</f>
        <v>98564.12</v>
      </c>
      <c r="U26" s="163"/>
      <c r="V26" s="176">
        <f t="shared" si="0"/>
        <v>98564.12</v>
      </c>
      <c r="W26" s="163"/>
      <c r="X26" s="163"/>
      <c r="Y26" s="163"/>
      <c r="Z26" s="163"/>
      <c r="AA26" s="72"/>
    </row>
    <row r="27" spans="1:27" ht="15">
      <c r="A27" s="72"/>
      <c r="B27" s="176" t="s">
        <v>359</v>
      </c>
      <c r="C27" s="163"/>
      <c r="D27" s="163"/>
      <c r="E27" s="177" t="s">
        <v>360</v>
      </c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76">
        <f>(T26/100)*5</f>
        <v>4928.205999999999</v>
      </c>
      <c r="U27" s="163"/>
      <c r="V27" s="176">
        <f t="shared" si="0"/>
        <v>4928.205999999999</v>
      </c>
      <c r="W27" s="163"/>
      <c r="X27" s="163"/>
      <c r="Y27" s="163"/>
      <c r="Z27" s="163"/>
      <c r="AA27" s="72"/>
    </row>
    <row r="28" spans="1:27" ht="15">
      <c r="A28" s="72"/>
      <c r="B28" s="173" t="s">
        <v>340</v>
      </c>
      <c r="C28" s="163"/>
      <c r="D28" s="163"/>
      <c r="E28" s="174" t="s">
        <v>361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75">
        <f>SUM(T22:U27)</f>
        <v>145678.85</v>
      </c>
      <c r="U28" s="163"/>
      <c r="V28" s="175">
        <f t="shared" si="0"/>
        <v>145678.85</v>
      </c>
      <c r="W28" s="163"/>
      <c r="X28" s="163"/>
      <c r="Y28" s="163"/>
      <c r="Z28" s="163"/>
      <c r="AA28" s="72"/>
    </row>
    <row r="29" spans="1:27" ht="15">
      <c r="A29" s="72"/>
      <c r="B29" s="176" t="s">
        <v>340</v>
      </c>
      <c r="C29" s="163"/>
      <c r="D29" s="163"/>
      <c r="E29" s="177" t="s">
        <v>340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76" t="s">
        <v>340</v>
      </c>
      <c r="U29" s="163"/>
      <c r="V29" s="176" t="s">
        <v>340</v>
      </c>
      <c r="W29" s="163"/>
      <c r="X29" s="163"/>
      <c r="Y29" s="163"/>
      <c r="Z29" s="163"/>
      <c r="AA29" s="72"/>
    </row>
    <row r="30" spans="1:27" ht="15">
      <c r="A30" s="72"/>
      <c r="B30" s="173" t="s">
        <v>362</v>
      </c>
      <c r="C30" s="163"/>
      <c r="D30" s="163"/>
      <c r="E30" s="174" t="s">
        <v>363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75" t="s">
        <v>340</v>
      </c>
      <c r="U30" s="163"/>
      <c r="V30" s="175" t="s">
        <v>340</v>
      </c>
      <c r="W30" s="163"/>
      <c r="X30" s="163"/>
      <c r="Y30" s="163"/>
      <c r="Z30" s="163"/>
      <c r="AA30" s="72"/>
    </row>
    <row r="31" spans="1:27" ht="15">
      <c r="A31" s="72"/>
      <c r="B31" s="176" t="s">
        <v>364</v>
      </c>
      <c r="C31" s="163"/>
      <c r="D31" s="163"/>
      <c r="E31" s="177" t="s">
        <v>365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76">
        <f>(T22/100)*2.5</f>
        <v>677.6</v>
      </c>
      <c r="U31" s="163"/>
      <c r="V31" s="176">
        <f>T31</f>
        <v>677.6</v>
      </c>
      <c r="W31" s="163"/>
      <c r="X31" s="163"/>
      <c r="Y31" s="163"/>
      <c r="Z31" s="163"/>
      <c r="AA31" s="72"/>
    </row>
    <row r="32" spans="1:27" ht="15">
      <c r="A32" s="72"/>
      <c r="B32" s="173" t="s">
        <v>340</v>
      </c>
      <c r="C32" s="163"/>
      <c r="D32" s="163"/>
      <c r="E32" s="174" t="s">
        <v>366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75">
        <f>T31</f>
        <v>677.6</v>
      </c>
      <c r="U32" s="163"/>
      <c r="V32" s="175">
        <f>V31</f>
        <v>677.6</v>
      </c>
      <c r="W32" s="163"/>
      <c r="X32" s="163"/>
      <c r="Y32" s="163"/>
      <c r="Z32" s="163"/>
      <c r="AA32" s="72"/>
    </row>
    <row r="33" spans="1:27" ht="15">
      <c r="A33" s="72"/>
      <c r="B33" s="176" t="s">
        <v>340</v>
      </c>
      <c r="C33" s="163"/>
      <c r="D33" s="163"/>
      <c r="E33" s="177" t="s">
        <v>340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76" t="s">
        <v>340</v>
      </c>
      <c r="U33" s="163"/>
      <c r="V33" s="176" t="s">
        <v>340</v>
      </c>
      <c r="W33" s="163"/>
      <c r="X33" s="163"/>
      <c r="Y33" s="163"/>
      <c r="Z33" s="163"/>
      <c r="AA33" s="72"/>
    </row>
    <row r="34" spans="1:27" ht="15">
      <c r="A34" s="72"/>
      <c r="B34" s="180" t="s">
        <v>367</v>
      </c>
      <c r="C34" s="171"/>
      <c r="D34" s="171"/>
      <c r="E34" s="181" t="s">
        <v>368</v>
      </c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82">
        <f>T28+T32</f>
        <v>146356.45</v>
      </c>
      <c r="U34" s="171"/>
      <c r="V34" s="182">
        <f>T34</f>
        <v>146356.45</v>
      </c>
      <c r="W34" s="171"/>
      <c r="X34" s="171"/>
      <c r="Y34" s="171"/>
      <c r="Z34" s="171"/>
      <c r="AA34" s="72"/>
    </row>
    <row r="35" spans="1:27" ht="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</row>
    <row r="36" spans="1:27" ht="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</row>
    <row r="37" spans="1:27" ht="15">
      <c r="A37" s="72"/>
      <c r="B37" s="187" t="s">
        <v>340</v>
      </c>
      <c r="C37" s="188"/>
      <c r="D37" s="188"/>
      <c r="E37" s="188"/>
      <c r="F37" s="188"/>
      <c r="G37" s="188"/>
      <c r="H37" s="72"/>
      <c r="I37" s="189" t="s">
        <v>369</v>
      </c>
      <c r="J37" s="188"/>
      <c r="K37" s="188"/>
      <c r="L37" s="188"/>
      <c r="M37" s="189" t="s">
        <v>370</v>
      </c>
      <c r="N37" s="188"/>
      <c r="O37" s="188"/>
      <c r="P37" s="188"/>
      <c r="Q37" s="83" t="s">
        <v>371</v>
      </c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1:27" ht="15">
      <c r="A38" s="72"/>
      <c r="B38" s="189" t="s">
        <v>372</v>
      </c>
      <c r="C38" s="188"/>
      <c r="D38" s="188"/>
      <c r="E38" s="188"/>
      <c r="F38" s="188"/>
      <c r="G38" s="188"/>
      <c r="H38" s="84"/>
      <c r="I38" s="178">
        <f>T34</f>
        <v>146356.45</v>
      </c>
      <c r="J38" s="179"/>
      <c r="K38" s="179"/>
      <c r="L38" s="179"/>
      <c r="M38" s="178">
        <f>(I38*1.21)-T34</f>
        <v>30734.854499999987</v>
      </c>
      <c r="N38" s="179"/>
      <c r="O38" s="179"/>
      <c r="P38" s="179"/>
      <c r="Q38" s="85">
        <f>I38+M38</f>
        <v>177091.3045</v>
      </c>
      <c r="R38" s="72"/>
      <c r="S38" s="72"/>
      <c r="T38" s="72"/>
      <c r="U38" s="72"/>
      <c r="V38" s="72"/>
      <c r="W38" s="72"/>
      <c r="X38" s="72"/>
      <c r="Y38" s="72"/>
      <c r="Z38" s="72"/>
      <c r="AA38" s="72"/>
    </row>
    <row r="39" spans="1:27" ht="15">
      <c r="A39" s="72"/>
      <c r="B39" s="72"/>
      <c r="C39" s="72"/>
      <c r="D39" s="72"/>
      <c r="E39" s="72"/>
      <c r="F39" s="72"/>
      <c r="G39" s="72"/>
      <c r="H39" s="72"/>
      <c r="I39" s="86"/>
      <c r="J39" s="86"/>
      <c r="K39" s="86"/>
      <c r="L39" s="86"/>
      <c r="M39" s="86"/>
      <c r="N39" s="86"/>
      <c r="O39" s="86"/>
      <c r="P39" s="86"/>
      <c r="Q39" s="86"/>
      <c r="R39" s="72"/>
      <c r="S39" s="72"/>
      <c r="T39" s="72"/>
      <c r="U39" s="72"/>
      <c r="V39" s="72"/>
      <c r="W39" s="72"/>
      <c r="X39" s="72"/>
      <c r="Y39" s="72"/>
      <c r="Z39" s="72"/>
      <c r="AA39" s="72"/>
    </row>
    <row r="40" spans="1:27" ht="15">
      <c r="A40" s="72"/>
      <c r="B40" s="72"/>
      <c r="C40" s="72"/>
      <c r="D40" s="72"/>
      <c r="E40" s="72"/>
      <c r="F40" s="72"/>
      <c r="G40" s="72"/>
      <c r="H40" s="72"/>
      <c r="I40" s="86"/>
      <c r="J40" s="86"/>
      <c r="K40" s="86"/>
      <c r="L40" s="86"/>
      <c r="M40" s="86"/>
      <c r="N40" s="86"/>
      <c r="O40" s="86"/>
      <c r="P40" s="86"/>
      <c r="Q40" s="86"/>
      <c r="R40" s="72"/>
      <c r="S40" s="72"/>
      <c r="T40" s="72"/>
      <c r="U40" s="72"/>
      <c r="V40" s="72"/>
      <c r="W40" s="72"/>
      <c r="X40" s="72"/>
      <c r="Y40" s="72"/>
      <c r="Z40" s="72"/>
      <c r="AA40" s="72"/>
    </row>
    <row r="41" spans="1:27" ht="15">
      <c r="A41" s="72"/>
      <c r="B41" s="190" t="s">
        <v>217</v>
      </c>
      <c r="C41" s="163"/>
      <c r="D41" s="163"/>
      <c r="E41" s="163"/>
      <c r="F41" s="163"/>
      <c r="G41" s="163"/>
      <c r="H41" s="72"/>
      <c r="I41" s="183">
        <f>T34</f>
        <v>146356.45</v>
      </c>
      <c r="J41" s="184"/>
      <c r="K41" s="184"/>
      <c r="L41" s="184"/>
      <c r="M41" s="86"/>
      <c r="N41" s="183">
        <f>M38</f>
        <v>30734.854499999987</v>
      </c>
      <c r="O41" s="184"/>
      <c r="P41" s="184"/>
      <c r="Q41" s="87">
        <f>N41+I41</f>
        <v>177091.3045</v>
      </c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1:27" ht="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</row>
    <row r="43" spans="1:27" ht="15">
      <c r="A43" s="72"/>
      <c r="B43" s="185" t="s">
        <v>373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72"/>
    </row>
    <row r="44" spans="1:27" ht="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</row>
    <row r="45" spans="1:27" ht="1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27" ht="15">
      <c r="A47" s="72"/>
      <c r="B47" s="186" t="s">
        <v>374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</row>
    <row r="48" spans="1:27" ht="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</row>
    <row r="49" spans="1:27" ht="15">
      <c r="A49" s="72"/>
      <c r="B49" s="175" t="s">
        <v>375</v>
      </c>
      <c r="C49" s="163"/>
      <c r="D49" s="163"/>
      <c r="E49" s="163"/>
      <c r="F49" s="174" t="s">
        <v>376</v>
      </c>
      <c r="G49" s="163"/>
      <c r="H49" s="163"/>
      <c r="I49" s="163"/>
      <c r="J49" s="163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</row>
    <row r="50" spans="1:27" ht="15">
      <c r="A50" s="72"/>
      <c r="B50" s="175" t="s">
        <v>377</v>
      </c>
      <c r="C50" s="163"/>
      <c r="D50" s="163"/>
      <c r="E50" s="163"/>
      <c r="F50" s="174" t="s">
        <v>378</v>
      </c>
      <c r="G50" s="163"/>
      <c r="H50" s="163"/>
      <c r="I50" s="163"/>
      <c r="J50" s="163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</row>
    <row r="51" spans="1:27" ht="15">
      <c r="A51" s="72"/>
      <c r="B51" s="175" t="s">
        <v>379</v>
      </c>
      <c r="C51" s="163"/>
      <c r="D51" s="163"/>
      <c r="E51" s="163"/>
      <c r="F51" s="174" t="s">
        <v>380</v>
      </c>
      <c r="G51" s="163"/>
      <c r="H51" s="163"/>
      <c r="I51" s="163"/>
      <c r="J51" s="163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</row>
  </sheetData>
  <sheetProtection password="CB35" sheet="1" objects="1" scenarios="1"/>
  <mergeCells count="88">
    <mergeCell ref="B50:E50"/>
    <mergeCell ref="F50:J50"/>
    <mergeCell ref="B51:E51"/>
    <mergeCell ref="F51:J51"/>
    <mergeCell ref="B41:G41"/>
    <mergeCell ref="I41:L41"/>
    <mergeCell ref="N41:P41"/>
    <mergeCell ref="B43:Z43"/>
    <mergeCell ref="B47:O47"/>
    <mergeCell ref="B49:E49"/>
    <mergeCell ref="F49:J49"/>
    <mergeCell ref="B37:G37"/>
    <mergeCell ref="I37:L37"/>
    <mergeCell ref="M37:P37"/>
    <mergeCell ref="B38:G38"/>
    <mergeCell ref="I38:L38"/>
    <mergeCell ref="M38:P38"/>
    <mergeCell ref="B33:D33"/>
    <mergeCell ref="E33:S33"/>
    <mergeCell ref="T33:U33"/>
    <mergeCell ref="V33:Z33"/>
    <mergeCell ref="B34:D34"/>
    <mergeCell ref="E34:S34"/>
    <mergeCell ref="T34:U34"/>
    <mergeCell ref="V34:Z34"/>
    <mergeCell ref="B31:D31"/>
    <mergeCell ref="E31:S31"/>
    <mergeCell ref="T31:U31"/>
    <mergeCell ref="V31:Z31"/>
    <mergeCell ref="B32:D32"/>
    <mergeCell ref="E32:S32"/>
    <mergeCell ref="T32:U32"/>
    <mergeCell ref="V32:Z32"/>
    <mergeCell ref="B29:D29"/>
    <mergeCell ref="E29:S29"/>
    <mergeCell ref="T29:U29"/>
    <mergeCell ref="V29:Z29"/>
    <mergeCell ref="B30:D30"/>
    <mergeCell ref="E30:S30"/>
    <mergeCell ref="T30:U30"/>
    <mergeCell ref="V30:Z30"/>
    <mergeCell ref="B27:D27"/>
    <mergeCell ref="E27:S27"/>
    <mergeCell ref="T27:U27"/>
    <mergeCell ref="V27:Z27"/>
    <mergeCell ref="B28:D28"/>
    <mergeCell ref="E28:S28"/>
    <mergeCell ref="T28:U28"/>
    <mergeCell ref="V28:Z28"/>
    <mergeCell ref="B25:D25"/>
    <mergeCell ref="E25:S25"/>
    <mergeCell ref="T25:U25"/>
    <mergeCell ref="V25:Z25"/>
    <mergeCell ref="B26:D26"/>
    <mergeCell ref="E26:S26"/>
    <mergeCell ref="T26:U26"/>
    <mergeCell ref="V26:Z26"/>
    <mergeCell ref="B23:D23"/>
    <mergeCell ref="E23:S23"/>
    <mergeCell ref="T23:U23"/>
    <mergeCell ref="V23:Z23"/>
    <mergeCell ref="B24:D24"/>
    <mergeCell ref="E24:S24"/>
    <mergeCell ref="T24:U24"/>
    <mergeCell ref="V24:Z24"/>
    <mergeCell ref="B21:D21"/>
    <mergeCell ref="E21:S21"/>
    <mergeCell ref="T21:U21"/>
    <mergeCell ref="V21:Z21"/>
    <mergeCell ref="B22:D22"/>
    <mergeCell ref="E22:S22"/>
    <mergeCell ref="T22:U22"/>
    <mergeCell ref="V22:Z22"/>
    <mergeCell ref="D11:I11"/>
    <mergeCell ref="J11:W11"/>
    <mergeCell ref="D12:I12"/>
    <mergeCell ref="J12:W12"/>
    <mergeCell ref="B18:Z18"/>
    <mergeCell ref="B20:D20"/>
    <mergeCell ref="E20:S20"/>
    <mergeCell ref="T20:U20"/>
    <mergeCell ref="V20:Z20"/>
    <mergeCell ref="L1:T1"/>
    <mergeCell ref="O2:R2"/>
    <mergeCell ref="G3:V3"/>
    <mergeCell ref="A6:AA6"/>
    <mergeCell ref="D10:I10"/>
    <mergeCell ref="J10:W10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1.421875" style="0" customWidth="1"/>
    <col min="3" max="3" width="5.7109375" style="0" customWidth="1"/>
    <col min="4" max="4" width="1.421875" style="0" customWidth="1"/>
    <col min="5" max="5" width="0" style="0" hidden="1" customWidth="1"/>
    <col min="6" max="6" width="4.00390625" style="0" customWidth="1"/>
    <col min="7" max="7" width="0" style="0" hidden="1" customWidth="1"/>
    <col min="8" max="8" width="3.57421875" style="0" customWidth="1"/>
    <col min="9" max="9" width="0" style="0" hidden="1" customWidth="1"/>
    <col min="10" max="10" width="0.5625" style="0" customWidth="1"/>
    <col min="11" max="11" width="0" style="0" hidden="1" customWidth="1"/>
    <col min="12" max="12" width="0.5625" style="0" customWidth="1"/>
    <col min="13" max="13" width="3.28125" style="0" customWidth="1"/>
    <col min="14" max="14" width="5.57421875" style="0" customWidth="1"/>
    <col min="15" max="15" width="6.28125" style="0" customWidth="1"/>
    <col min="16" max="16" width="1.57421875" style="0" customWidth="1"/>
    <col min="17" max="17" width="1.8515625" style="0" customWidth="1"/>
    <col min="18" max="18" width="5.140625" style="0" customWidth="1"/>
    <col min="19" max="19" width="1.57421875" style="0" customWidth="1"/>
    <col min="20" max="20" width="21.421875" style="0" customWidth="1"/>
    <col min="22" max="23" width="3.140625" style="0" customWidth="1"/>
    <col min="25" max="25" width="6.140625" style="0" customWidth="1"/>
    <col min="26" max="26" width="0" style="0" hidden="1" customWidth="1"/>
    <col min="27" max="27" width="11.57421875" style="0" customWidth="1"/>
  </cols>
  <sheetData>
    <row r="1" spans="1:28" ht="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62" t="s">
        <v>332</v>
      </c>
      <c r="Q1" s="163"/>
      <c r="R1" s="163"/>
      <c r="S1" s="163"/>
      <c r="T1" s="163"/>
      <c r="U1" s="163"/>
      <c r="V1" s="163"/>
      <c r="W1" s="72"/>
      <c r="X1" s="72"/>
      <c r="Y1" s="72"/>
      <c r="Z1" s="72"/>
      <c r="AA1" s="72"/>
      <c r="AB1" s="72"/>
    </row>
    <row r="2" spans="1:28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164" t="s">
        <v>333</v>
      </c>
      <c r="S2" s="163"/>
      <c r="T2" s="163"/>
      <c r="U2" s="163"/>
      <c r="V2" s="72"/>
      <c r="W2" s="72"/>
      <c r="X2" s="72"/>
      <c r="Y2" s="72"/>
      <c r="Z2" s="72"/>
      <c r="AA2" s="72"/>
      <c r="AB2" s="72"/>
    </row>
    <row r="3" spans="1:28" ht="15">
      <c r="A3" s="72"/>
      <c r="B3" s="72"/>
      <c r="C3" s="72"/>
      <c r="D3" s="72"/>
      <c r="E3" s="72"/>
      <c r="F3" s="72"/>
      <c r="G3" s="72"/>
      <c r="H3" s="164" t="s">
        <v>334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72"/>
      <c r="AB3" s="72"/>
    </row>
    <row r="4" spans="1:28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15">
      <c r="A6" s="165" t="s">
        <v>335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</row>
    <row r="7" spans="1:28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ht="1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15">
      <c r="A9" s="72"/>
      <c r="B9" s="169" t="s">
        <v>381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72"/>
    </row>
    <row r="10" spans="1:28" ht="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5">
      <c r="A11" s="72"/>
      <c r="B11" s="191" t="s">
        <v>382</v>
      </c>
      <c r="C11" s="192"/>
      <c r="D11" s="193" t="s">
        <v>383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3" t="s">
        <v>344</v>
      </c>
      <c r="O11" s="192"/>
      <c r="P11" s="192"/>
      <c r="Q11" s="192"/>
      <c r="R11" s="192"/>
      <c r="S11" s="192"/>
      <c r="T11" s="192"/>
      <c r="U11" s="191" t="s">
        <v>384</v>
      </c>
      <c r="V11" s="192"/>
      <c r="W11" s="192"/>
      <c r="X11" s="90" t="s">
        <v>212</v>
      </c>
      <c r="Y11" s="91" t="s">
        <v>385</v>
      </c>
      <c r="Z11" s="191" t="s">
        <v>386</v>
      </c>
      <c r="AA11" s="192"/>
      <c r="AB11" s="72"/>
    </row>
    <row r="12" spans="1:28" ht="15">
      <c r="A12" s="72"/>
      <c r="B12" s="176">
        <v>1</v>
      </c>
      <c r="C12" s="163"/>
      <c r="D12" s="177" t="s">
        <v>387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77" t="s">
        <v>388</v>
      </c>
      <c r="O12" s="163"/>
      <c r="P12" s="163"/>
      <c r="Q12" s="163"/>
      <c r="R12" s="163"/>
      <c r="S12" s="163"/>
      <c r="T12" s="163"/>
      <c r="U12" s="194">
        <v>26</v>
      </c>
      <c r="V12" s="195"/>
      <c r="W12" s="195"/>
      <c r="X12" s="88" t="s">
        <v>389</v>
      </c>
      <c r="Y12" s="89" t="s">
        <v>206</v>
      </c>
      <c r="Z12" s="196">
        <f>U12*X12</f>
        <v>208</v>
      </c>
      <c r="AA12" s="163"/>
      <c r="AB12" s="72"/>
    </row>
    <row r="13" spans="1:28" ht="15">
      <c r="A13" s="72"/>
      <c r="B13" s="176">
        <v>2</v>
      </c>
      <c r="C13" s="163"/>
      <c r="D13" s="177" t="s">
        <v>390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77" t="s">
        <v>391</v>
      </c>
      <c r="O13" s="163"/>
      <c r="P13" s="163"/>
      <c r="Q13" s="163"/>
      <c r="R13" s="163"/>
      <c r="S13" s="163"/>
      <c r="T13" s="163"/>
      <c r="U13" s="194">
        <v>41</v>
      </c>
      <c r="V13" s="195"/>
      <c r="W13" s="195"/>
      <c r="X13" s="88" t="s">
        <v>392</v>
      </c>
      <c r="Y13" s="89" t="s">
        <v>393</v>
      </c>
      <c r="Z13" s="196">
        <f aca="true" t="shared" si="0" ref="Z13:Z31">U13*X13</f>
        <v>984</v>
      </c>
      <c r="AA13" s="163"/>
      <c r="AB13" s="72"/>
    </row>
    <row r="14" spans="1:28" ht="15">
      <c r="A14" s="72"/>
      <c r="B14" s="176">
        <v>3</v>
      </c>
      <c r="C14" s="163"/>
      <c r="D14" s="177" t="s">
        <v>394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77" t="s">
        <v>395</v>
      </c>
      <c r="O14" s="163"/>
      <c r="P14" s="163"/>
      <c r="Q14" s="163"/>
      <c r="R14" s="163"/>
      <c r="S14" s="163"/>
      <c r="T14" s="163"/>
      <c r="U14" s="194">
        <v>47</v>
      </c>
      <c r="V14" s="195"/>
      <c r="W14" s="195"/>
      <c r="X14" s="88" t="s">
        <v>396</v>
      </c>
      <c r="Y14" s="89" t="s">
        <v>393</v>
      </c>
      <c r="Z14" s="196">
        <f t="shared" si="0"/>
        <v>188</v>
      </c>
      <c r="AA14" s="163"/>
      <c r="AB14" s="72"/>
    </row>
    <row r="15" spans="1:28" ht="15">
      <c r="A15" s="72"/>
      <c r="B15" s="176">
        <v>4</v>
      </c>
      <c r="C15" s="163"/>
      <c r="D15" s="177" t="s">
        <v>397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77" t="s">
        <v>398</v>
      </c>
      <c r="O15" s="163"/>
      <c r="P15" s="163"/>
      <c r="Q15" s="163"/>
      <c r="R15" s="163"/>
      <c r="S15" s="163"/>
      <c r="T15" s="163"/>
      <c r="U15" s="194">
        <v>47</v>
      </c>
      <c r="V15" s="195"/>
      <c r="W15" s="195"/>
      <c r="X15" s="88" t="s">
        <v>399</v>
      </c>
      <c r="Y15" s="89" t="s">
        <v>393</v>
      </c>
      <c r="Z15" s="196">
        <f t="shared" si="0"/>
        <v>1504</v>
      </c>
      <c r="AA15" s="163"/>
      <c r="AB15" s="72"/>
    </row>
    <row r="16" spans="1:28" ht="15">
      <c r="A16" s="72"/>
      <c r="B16" s="176">
        <v>5</v>
      </c>
      <c r="C16" s="163"/>
      <c r="D16" s="177" t="s">
        <v>400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77" t="s">
        <v>401</v>
      </c>
      <c r="O16" s="163"/>
      <c r="P16" s="163"/>
      <c r="Q16" s="163"/>
      <c r="R16" s="163"/>
      <c r="S16" s="163"/>
      <c r="T16" s="163"/>
      <c r="U16" s="194">
        <v>56</v>
      </c>
      <c r="V16" s="195"/>
      <c r="W16" s="195"/>
      <c r="X16" s="88" t="s">
        <v>389</v>
      </c>
      <c r="Y16" s="89" t="s">
        <v>393</v>
      </c>
      <c r="Z16" s="196">
        <f t="shared" si="0"/>
        <v>448</v>
      </c>
      <c r="AA16" s="163"/>
      <c r="AB16" s="72"/>
    </row>
    <row r="17" spans="1:28" ht="15">
      <c r="A17" s="72"/>
      <c r="B17" s="176">
        <v>6</v>
      </c>
      <c r="C17" s="163"/>
      <c r="D17" s="177" t="s">
        <v>402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77" t="s">
        <v>403</v>
      </c>
      <c r="O17" s="163"/>
      <c r="P17" s="163"/>
      <c r="Q17" s="163"/>
      <c r="R17" s="163"/>
      <c r="S17" s="163"/>
      <c r="T17" s="163"/>
      <c r="U17" s="194">
        <v>746</v>
      </c>
      <c r="V17" s="195"/>
      <c r="W17" s="195"/>
      <c r="X17" s="88" t="s">
        <v>404</v>
      </c>
      <c r="Y17" s="89" t="s">
        <v>393</v>
      </c>
      <c r="Z17" s="196">
        <f t="shared" si="0"/>
        <v>1492</v>
      </c>
      <c r="AA17" s="163"/>
      <c r="AB17" s="72"/>
    </row>
    <row r="18" spans="1:28" ht="15">
      <c r="A18" s="72"/>
      <c r="B18" s="176">
        <v>7</v>
      </c>
      <c r="C18" s="163"/>
      <c r="D18" s="177" t="s">
        <v>405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77" t="s">
        <v>406</v>
      </c>
      <c r="O18" s="163"/>
      <c r="P18" s="163"/>
      <c r="Q18" s="163"/>
      <c r="R18" s="163"/>
      <c r="S18" s="163"/>
      <c r="T18" s="163"/>
      <c r="U18" s="194">
        <v>14</v>
      </c>
      <c r="V18" s="195"/>
      <c r="W18" s="195"/>
      <c r="X18" s="88" t="s">
        <v>396</v>
      </c>
      <c r="Y18" s="89" t="s">
        <v>393</v>
      </c>
      <c r="Z18" s="196">
        <f t="shared" si="0"/>
        <v>56</v>
      </c>
      <c r="AA18" s="163"/>
      <c r="AB18" s="72"/>
    </row>
    <row r="19" spans="1:28" ht="15">
      <c r="A19" s="72"/>
      <c r="B19" s="176">
        <v>8</v>
      </c>
      <c r="C19" s="163"/>
      <c r="D19" s="177" t="s">
        <v>407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77" t="s">
        <v>408</v>
      </c>
      <c r="O19" s="163"/>
      <c r="P19" s="163"/>
      <c r="Q19" s="163"/>
      <c r="R19" s="163"/>
      <c r="S19" s="163"/>
      <c r="T19" s="163"/>
      <c r="U19" s="194">
        <v>995</v>
      </c>
      <c r="V19" s="195"/>
      <c r="W19" s="195"/>
      <c r="X19" s="88" t="s">
        <v>404</v>
      </c>
      <c r="Y19" s="89" t="s">
        <v>393</v>
      </c>
      <c r="Z19" s="196">
        <f t="shared" si="0"/>
        <v>1990</v>
      </c>
      <c r="AA19" s="163"/>
      <c r="AB19" s="72"/>
    </row>
    <row r="20" spans="1:28" ht="15">
      <c r="A20" s="72"/>
      <c r="B20" s="176">
        <v>9</v>
      </c>
      <c r="C20" s="163"/>
      <c r="D20" s="177" t="s">
        <v>409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77" t="s">
        <v>410</v>
      </c>
      <c r="O20" s="163"/>
      <c r="P20" s="163"/>
      <c r="Q20" s="163"/>
      <c r="R20" s="163"/>
      <c r="S20" s="163"/>
      <c r="T20" s="163"/>
      <c r="U20" s="194">
        <v>644</v>
      </c>
      <c r="V20" s="195"/>
      <c r="W20" s="195"/>
      <c r="X20" s="88" t="s">
        <v>404</v>
      </c>
      <c r="Y20" s="89" t="s">
        <v>393</v>
      </c>
      <c r="Z20" s="196">
        <f t="shared" si="0"/>
        <v>1288</v>
      </c>
      <c r="AA20" s="163"/>
      <c r="AB20" s="72"/>
    </row>
    <row r="21" spans="1:28" ht="15">
      <c r="A21" s="72"/>
      <c r="B21" s="176">
        <v>10</v>
      </c>
      <c r="C21" s="163"/>
      <c r="D21" s="177" t="s">
        <v>411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77" t="s">
        <v>412</v>
      </c>
      <c r="O21" s="163"/>
      <c r="P21" s="163"/>
      <c r="Q21" s="163"/>
      <c r="R21" s="163"/>
      <c r="S21" s="163"/>
      <c r="T21" s="163"/>
      <c r="U21" s="194">
        <v>41</v>
      </c>
      <c r="V21" s="195"/>
      <c r="W21" s="195"/>
      <c r="X21" s="88" t="s">
        <v>413</v>
      </c>
      <c r="Y21" s="89" t="s">
        <v>206</v>
      </c>
      <c r="Z21" s="196">
        <f t="shared" si="0"/>
        <v>410</v>
      </c>
      <c r="AA21" s="163"/>
      <c r="AB21" s="72"/>
    </row>
    <row r="22" spans="1:28" ht="15">
      <c r="A22" s="72"/>
      <c r="B22" s="176">
        <v>11</v>
      </c>
      <c r="C22" s="163"/>
      <c r="D22" s="177" t="s">
        <v>414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77" t="s">
        <v>415</v>
      </c>
      <c r="O22" s="163"/>
      <c r="P22" s="163"/>
      <c r="Q22" s="163"/>
      <c r="R22" s="163"/>
      <c r="S22" s="163"/>
      <c r="T22" s="163"/>
      <c r="U22" s="194">
        <v>43</v>
      </c>
      <c r="V22" s="195"/>
      <c r="W22" s="195"/>
      <c r="X22" s="88" t="s">
        <v>413</v>
      </c>
      <c r="Y22" s="89" t="s">
        <v>393</v>
      </c>
      <c r="Z22" s="196">
        <f t="shared" si="0"/>
        <v>430</v>
      </c>
      <c r="AA22" s="163"/>
      <c r="AB22" s="72"/>
    </row>
    <row r="23" spans="1:28" ht="15">
      <c r="A23" s="72"/>
      <c r="B23" s="176">
        <v>12</v>
      </c>
      <c r="C23" s="163"/>
      <c r="D23" s="177" t="s">
        <v>416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77" t="s">
        <v>417</v>
      </c>
      <c r="O23" s="163"/>
      <c r="P23" s="163"/>
      <c r="Q23" s="163"/>
      <c r="R23" s="163"/>
      <c r="S23" s="163"/>
      <c r="T23" s="163"/>
      <c r="U23" s="194">
        <v>51</v>
      </c>
      <c r="V23" s="195"/>
      <c r="W23" s="195"/>
      <c r="X23" s="88" t="s">
        <v>404</v>
      </c>
      <c r="Y23" s="89" t="s">
        <v>393</v>
      </c>
      <c r="Z23" s="196">
        <f t="shared" si="0"/>
        <v>102</v>
      </c>
      <c r="AA23" s="163"/>
      <c r="AB23" s="72"/>
    </row>
    <row r="24" spans="1:28" ht="15">
      <c r="A24" s="72"/>
      <c r="B24" s="176">
        <v>13</v>
      </c>
      <c r="C24" s="163"/>
      <c r="D24" s="177" t="s">
        <v>418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77" t="s">
        <v>419</v>
      </c>
      <c r="O24" s="163"/>
      <c r="P24" s="163"/>
      <c r="Q24" s="163"/>
      <c r="R24" s="163"/>
      <c r="S24" s="163"/>
      <c r="T24" s="163"/>
      <c r="U24" s="194">
        <v>17</v>
      </c>
      <c r="V24" s="195"/>
      <c r="W24" s="195"/>
      <c r="X24" s="88" t="s">
        <v>420</v>
      </c>
      <c r="Y24" s="89" t="s">
        <v>206</v>
      </c>
      <c r="Z24" s="196">
        <f t="shared" si="0"/>
        <v>85</v>
      </c>
      <c r="AA24" s="163"/>
      <c r="AB24" s="72"/>
    </row>
    <row r="25" spans="1:28" ht="15">
      <c r="A25" s="72"/>
      <c r="B25" s="176">
        <v>14</v>
      </c>
      <c r="C25" s="163"/>
      <c r="D25" s="177" t="s">
        <v>421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77" t="s">
        <v>422</v>
      </c>
      <c r="O25" s="163"/>
      <c r="P25" s="163"/>
      <c r="Q25" s="163"/>
      <c r="R25" s="163"/>
      <c r="S25" s="163"/>
      <c r="T25" s="163"/>
      <c r="U25" s="194">
        <v>17</v>
      </c>
      <c r="V25" s="195"/>
      <c r="W25" s="195"/>
      <c r="X25" s="88" t="s">
        <v>399</v>
      </c>
      <c r="Y25" s="89" t="s">
        <v>206</v>
      </c>
      <c r="Z25" s="196">
        <f t="shared" si="0"/>
        <v>544</v>
      </c>
      <c r="AA25" s="163"/>
      <c r="AB25" s="72"/>
    </row>
    <row r="26" spans="1:28" ht="15">
      <c r="A26" s="72"/>
      <c r="B26" s="176">
        <v>15</v>
      </c>
      <c r="C26" s="163"/>
      <c r="D26" s="177" t="s">
        <v>423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77" t="s">
        <v>424</v>
      </c>
      <c r="O26" s="163"/>
      <c r="P26" s="163"/>
      <c r="Q26" s="163"/>
      <c r="R26" s="163"/>
      <c r="S26" s="163"/>
      <c r="T26" s="163"/>
      <c r="U26" s="194">
        <v>41</v>
      </c>
      <c r="V26" s="195"/>
      <c r="W26" s="195"/>
      <c r="X26" s="88" t="s">
        <v>413</v>
      </c>
      <c r="Y26" s="89" t="s">
        <v>206</v>
      </c>
      <c r="Z26" s="196">
        <f t="shared" si="0"/>
        <v>410</v>
      </c>
      <c r="AA26" s="163"/>
      <c r="AB26" s="72"/>
    </row>
    <row r="27" spans="1:28" ht="15">
      <c r="A27" s="72"/>
      <c r="B27" s="176">
        <v>16</v>
      </c>
      <c r="C27" s="163"/>
      <c r="D27" s="177" t="s">
        <v>425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77" t="s">
        <v>426</v>
      </c>
      <c r="O27" s="163"/>
      <c r="P27" s="163"/>
      <c r="Q27" s="163"/>
      <c r="R27" s="163"/>
      <c r="S27" s="163"/>
      <c r="T27" s="163"/>
      <c r="U27" s="194">
        <v>43</v>
      </c>
      <c r="V27" s="195"/>
      <c r="W27" s="195"/>
      <c r="X27" s="88" t="s">
        <v>404</v>
      </c>
      <c r="Y27" s="89" t="s">
        <v>393</v>
      </c>
      <c r="Z27" s="196">
        <f t="shared" si="0"/>
        <v>86</v>
      </c>
      <c r="AA27" s="163"/>
      <c r="AB27" s="72"/>
    </row>
    <row r="28" spans="1:28" ht="15">
      <c r="A28" s="72"/>
      <c r="B28" s="176">
        <v>17</v>
      </c>
      <c r="C28" s="163"/>
      <c r="D28" s="177" t="s">
        <v>427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77" t="s">
        <v>428</v>
      </c>
      <c r="O28" s="163"/>
      <c r="P28" s="163"/>
      <c r="Q28" s="163"/>
      <c r="R28" s="163"/>
      <c r="S28" s="163"/>
      <c r="T28" s="163"/>
      <c r="U28" s="194">
        <v>4389</v>
      </c>
      <c r="V28" s="195"/>
      <c r="W28" s="195"/>
      <c r="X28" s="88" t="s">
        <v>429</v>
      </c>
      <c r="Y28" s="89" t="s">
        <v>393</v>
      </c>
      <c r="Z28" s="196">
        <f t="shared" si="0"/>
        <v>4389</v>
      </c>
      <c r="AA28" s="163"/>
      <c r="AB28" s="72"/>
    </row>
    <row r="29" spans="1:28" ht="15">
      <c r="A29" s="72"/>
      <c r="B29" s="176">
        <v>18</v>
      </c>
      <c r="C29" s="163"/>
      <c r="D29" s="177" t="s">
        <v>430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77" t="s">
        <v>431</v>
      </c>
      <c r="O29" s="163"/>
      <c r="P29" s="163"/>
      <c r="Q29" s="163"/>
      <c r="R29" s="163"/>
      <c r="S29" s="163"/>
      <c r="T29" s="163"/>
      <c r="U29" s="194">
        <v>7022</v>
      </c>
      <c r="V29" s="195"/>
      <c r="W29" s="195"/>
      <c r="X29" s="88" t="s">
        <v>429</v>
      </c>
      <c r="Y29" s="89" t="s">
        <v>340</v>
      </c>
      <c r="Z29" s="196">
        <f t="shared" si="0"/>
        <v>7022</v>
      </c>
      <c r="AA29" s="163"/>
      <c r="AB29" s="72"/>
    </row>
    <row r="30" spans="1:28" ht="15">
      <c r="A30" s="72"/>
      <c r="B30" s="176">
        <v>19</v>
      </c>
      <c r="C30" s="163"/>
      <c r="D30" s="177" t="s">
        <v>432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77" t="s">
        <v>433</v>
      </c>
      <c r="O30" s="163"/>
      <c r="P30" s="163"/>
      <c r="Q30" s="163"/>
      <c r="R30" s="163"/>
      <c r="S30" s="163"/>
      <c r="T30" s="163"/>
      <c r="U30" s="194">
        <v>409</v>
      </c>
      <c r="V30" s="195"/>
      <c r="W30" s="195"/>
      <c r="X30" s="88" t="s">
        <v>396</v>
      </c>
      <c r="Y30" s="89" t="s">
        <v>393</v>
      </c>
      <c r="Z30" s="196">
        <f t="shared" si="0"/>
        <v>1636</v>
      </c>
      <c r="AA30" s="163"/>
      <c r="AB30" s="72"/>
    </row>
    <row r="31" spans="1:28" ht="15">
      <c r="A31" s="72"/>
      <c r="B31" s="176">
        <v>20</v>
      </c>
      <c r="C31" s="163"/>
      <c r="D31" s="177" t="s">
        <v>434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77" t="s">
        <v>435</v>
      </c>
      <c r="O31" s="163"/>
      <c r="P31" s="163"/>
      <c r="Q31" s="163"/>
      <c r="R31" s="163"/>
      <c r="S31" s="163"/>
      <c r="T31" s="163"/>
      <c r="U31" s="194">
        <v>1916</v>
      </c>
      <c r="V31" s="195"/>
      <c r="W31" s="195"/>
      <c r="X31" s="88" t="s">
        <v>404</v>
      </c>
      <c r="Y31" s="89" t="s">
        <v>393</v>
      </c>
      <c r="Z31" s="196">
        <f t="shared" si="0"/>
        <v>3832</v>
      </c>
      <c r="AA31" s="163"/>
      <c r="AB31" s="72"/>
    </row>
    <row r="32" spans="1:28" ht="15">
      <c r="A32" s="72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100">
        <f>SUM(Z12:AA31)</f>
        <v>27104</v>
      </c>
      <c r="AB32" s="72"/>
    </row>
    <row r="33" spans="1:28" ht="15" hidden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5" hidden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5" hidden="1">
      <c r="A35" s="72"/>
      <c r="B35" s="174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72"/>
    </row>
    <row r="36" spans="1:28" ht="15" hidden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5" hidden="1">
      <c r="A37" s="72"/>
      <c r="B37" s="72"/>
      <c r="C37" s="176"/>
      <c r="D37" s="163"/>
      <c r="E37" s="72"/>
      <c r="F37" s="196"/>
      <c r="G37" s="163"/>
      <c r="H37" s="163"/>
      <c r="I37" s="163"/>
      <c r="J37" s="163"/>
      <c r="K37" s="163"/>
      <c r="L37" s="163"/>
      <c r="M37" s="177"/>
      <c r="N37" s="163"/>
      <c r="O37" s="163"/>
      <c r="P37" s="163"/>
      <c r="Q37" s="163"/>
      <c r="R37" s="163"/>
      <c r="S37" s="163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0.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 customHeight="1">
      <c r="A39" s="72"/>
      <c r="B39" s="187" t="s">
        <v>340</v>
      </c>
      <c r="C39" s="188"/>
      <c r="D39" s="188"/>
      <c r="E39" s="188"/>
      <c r="F39" s="188"/>
      <c r="G39" s="188"/>
      <c r="H39" s="188"/>
      <c r="I39" s="72"/>
      <c r="J39" s="189" t="s">
        <v>345</v>
      </c>
      <c r="K39" s="188"/>
      <c r="L39" s="188"/>
      <c r="M39" s="188"/>
      <c r="N39" s="188"/>
      <c r="O39" s="188"/>
      <c r="P39" s="188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5">
      <c r="A40" s="72"/>
      <c r="B40" s="189" t="s">
        <v>346</v>
      </c>
      <c r="C40" s="188"/>
      <c r="D40" s="188"/>
      <c r="E40" s="188"/>
      <c r="F40" s="188"/>
      <c r="G40" s="188"/>
      <c r="H40" s="188"/>
      <c r="I40" s="84"/>
      <c r="J40" s="178">
        <f>AA32</f>
        <v>27104</v>
      </c>
      <c r="K40" s="179"/>
      <c r="L40" s="179"/>
      <c r="M40" s="179"/>
      <c r="N40" s="179"/>
      <c r="O40" s="179"/>
      <c r="P40" s="179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ht="15" hidden="1">
      <c r="A41" s="72"/>
      <c r="B41" s="72"/>
      <c r="C41" s="72"/>
      <c r="D41" s="72"/>
      <c r="E41" s="72"/>
      <c r="F41" s="72"/>
      <c r="G41" s="72"/>
      <c r="H41" s="72"/>
      <c r="I41" s="72"/>
      <c r="J41" s="86"/>
      <c r="K41" s="86"/>
      <c r="L41" s="86"/>
      <c r="M41" s="86"/>
      <c r="N41" s="86"/>
      <c r="O41" s="86"/>
      <c r="P41" s="86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ht="15" hidden="1">
      <c r="A42" s="72"/>
      <c r="B42" s="72"/>
      <c r="C42" s="72"/>
      <c r="D42" s="72"/>
      <c r="E42" s="72"/>
      <c r="F42" s="72"/>
      <c r="G42" s="72"/>
      <c r="H42" s="72"/>
      <c r="I42" s="72"/>
      <c r="J42" s="86"/>
      <c r="K42" s="86"/>
      <c r="L42" s="86"/>
      <c r="M42" s="86"/>
      <c r="N42" s="86"/>
      <c r="O42" s="86"/>
      <c r="P42" s="86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5">
      <c r="A43" s="72"/>
      <c r="B43" s="190" t="s">
        <v>217</v>
      </c>
      <c r="C43" s="163"/>
      <c r="D43" s="163"/>
      <c r="E43" s="163"/>
      <c r="F43" s="163"/>
      <c r="G43" s="163"/>
      <c r="H43" s="163"/>
      <c r="I43" s="72"/>
      <c r="J43" s="183">
        <f>AA32</f>
        <v>27104</v>
      </c>
      <c r="K43" s="184"/>
      <c r="L43" s="184"/>
      <c r="M43" s="184"/>
      <c r="N43" s="184"/>
      <c r="O43" s="184"/>
      <c r="P43" s="184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8" ht="15" hidden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28" ht="15" hidden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28" ht="1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ht="15">
      <c r="A47" s="72"/>
      <c r="B47" s="169" t="s">
        <v>436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72"/>
    </row>
    <row r="48" spans="1:28" ht="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1:28" ht="15">
      <c r="A49" s="72"/>
      <c r="B49" s="191" t="s">
        <v>382</v>
      </c>
      <c r="C49" s="192"/>
      <c r="D49" s="193" t="s">
        <v>383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3" t="s">
        <v>344</v>
      </c>
      <c r="O49" s="192"/>
      <c r="P49" s="192"/>
      <c r="Q49" s="192"/>
      <c r="R49" s="192"/>
      <c r="S49" s="192"/>
      <c r="T49" s="192"/>
      <c r="U49" s="191" t="s">
        <v>384</v>
      </c>
      <c r="V49" s="192"/>
      <c r="W49" s="192"/>
      <c r="X49" s="90" t="s">
        <v>212</v>
      </c>
      <c r="Y49" s="91" t="s">
        <v>385</v>
      </c>
      <c r="Z49" s="191" t="s">
        <v>386</v>
      </c>
      <c r="AA49" s="192"/>
      <c r="AB49" s="72"/>
    </row>
    <row r="50" spans="1:28" ht="15">
      <c r="A50" s="72"/>
      <c r="B50" s="176">
        <v>1</v>
      </c>
      <c r="C50" s="163"/>
      <c r="D50" s="177" t="s">
        <v>437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77" t="s">
        <v>438</v>
      </c>
      <c r="O50" s="163"/>
      <c r="P50" s="163"/>
      <c r="Q50" s="163"/>
      <c r="R50" s="163"/>
      <c r="S50" s="163"/>
      <c r="T50" s="163"/>
      <c r="U50" s="194">
        <v>1287</v>
      </c>
      <c r="V50" s="195"/>
      <c r="W50" s="195"/>
      <c r="X50" s="88" t="s">
        <v>404</v>
      </c>
      <c r="Y50" s="89" t="s">
        <v>393</v>
      </c>
      <c r="Z50" s="196">
        <f>X50*U50</f>
        <v>2574</v>
      </c>
      <c r="AA50" s="163"/>
      <c r="AB50" s="72"/>
    </row>
    <row r="51" spans="1:28" ht="15">
      <c r="A51" s="72"/>
      <c r="B51" s="176">
        <v>2</v>
      </c>
      <c r="C51" s="163"/>
      <c r="D51" s="177" t="s">
        <v>439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77" t="s">
        <v>440</v>
      </c>
      <c r="O51" s="163"/>
      <c r="P51" s="163"/>
      <c r="Q51" s="163"/>
      <c r="R51" s="163"/>
      <c r="S51" s="163"/>
      <c r="T51" s="163"/>
      <c r="U51" s="194">
        <v>1097</v>
      </c>
      <c r="V51" s="195"/>
      <c r="W51" s="195"/>
      <c r="X51" s="88" t="s">
        <v>441</v>
      </c>
      <c r="Y51" s="89" t="s">
        <v>209</v>
      </c>
      <c r="Z51" s="196">
        <f aca="true" t="shared" si="1" ref="Z51:Z60">X51*U51</f>
        <v>603.35</v>
      </c>
      <c r="AA51" s="163"/>
      <c r="AB51" s="72"/>
    </row>
    <row r="52" spans="1:28" ht="15">
      <c r="A52" s="72"/>
      <c r="B52" s="176">
        <v>3</v>
      </c>
      <c r="C52" s="163"/>
      <c r="D52" s="177" t="s">
        <v>442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77" t="s">
        <v>443</v>
      </c>
      <c r="O52" s="163"/>
      <c r="P52" s="163"/>
      <c r="Q52" s="163"/>
      <c r="R52" s="163"/>
      <c r="S52" s="163"/>
      <c r="T52" s="163"/>
      <c r="U52" s="194">
        <v>4242</v>
      </c>
      <c r="V52" s="195"/>
      <c r="W52" s="195"/>
      <c r="X52" s="88" t="s">
        <v>429</v>
      </c>
      <c r="Y52" s="89" t="s">
        <v>209</v>
      </c>
      <c r="Z52" s="196">
        <f t="shared" si="1"/>
        <v>4242</v>
      </c>
      <c r="AA52" s="163"/>
      <c r="AB52" s="72"/>
    </row>
    <row r="53" spans="1:28" ht="15">
      <c r="A53" s="72"/>
      <c r="B53" s="176">
        <v>4</v>
      </c>
      <c r="C53" s="163"/>
      <c r="D53" s="177" t="s">
        <v>444</v>
      </c>
      <c r="E53" s="163"/>
      <c r="F53" s="163"/>
      <c r="G53" s="163"/>
      <c r="H53" s="163"/>
      <c r="I53" s="163"/>
      <c r="J53" s="163"/>
      <c r="K53" s="163"/>
      <c r="L53" s="163"/>
      <c r="M53" s="163"/>
      <c r="N53" s="177" t="s">
        <v>445</v>
      </c>
      <c r="O53" s="163"/>
      <c r="P53" s="163"/>
      <c r="Q53" s="163"/>
      <c r="R53" s="163"/>
      <c r="S53" s="163"/>
      <c r="T53" s="163"/>
      <c r="U53" s="194">
        <v>2107</v>
      </c>
      <c r="V53" s="195"/>
      <c r="W53" s="195"/>
      <c r="X53" s="88" t="s">
        <v>446</v>
      </c>
      <c r="Y53" s="89" t="s">
        <v>209</v>
      </c>
      <c r="Z53" s="196">
        <f t="shared" si="1"/>
        <v>526.75</v>
      </c>
      <c r="AA53" s="163"/>
      <c r="AB53" s="72"/>
    </row>
    <row r="54" spans="1:28" ht="15">
      <c r="A54" s="72"/>
      <c r="B54" s="176">
        <v>5</v>
      </c>
      <c r="C54" s="163"/>
      <c r="D54" s="177" t="s">
        <v>447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77" t="s">
        <v>448</v>
      </c>
      <c r="O54" s="163"/>
      <c r="P54" s="163"/>
      <c r="Q54" s="163"/>
      <c r="R54" s="163"/>
      <c r="S54" s="163"/>
      <c r="T54" s="163"/>
      <c r="U54" s="194">
        <v>951</v>
      </c>
      <c r="V54" s="195"/>
      <c r="W54" s="195"/>
      <c r="X54" s="88" t="s">
        <v>404</v>
      </c>
      <c r="Y54" s="89" t="s">
        <v>393</v>
      </c>
      <c r="Z54" s="196">
        <f t="shared" si="1"/>
        <v>1902</v>
      </c>
      <c r="AA54" s="163"/>
      <c r="AB54" s="72"/>
    </row>
    <row r="55" spans="1:28" ht="15">
      <c r="A55" s="72"/>
      <c r="B55" s="176">
        <v>6</v>
      </c>
      <c r="C55" s="163"/>
      <c r="D55" s="177" t="s">
        <v>449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77" t="s">
        <v>450</v>
      </c>
      <c r="O55" s="163"/>
      <c r="P55" s="163"/>
      <c r="Q55" s="163"/>
      <c r="R55" s="163"/>
      <c r="S55" s="163"/>
      <c r="T55" s="163"/>
      <c r="U55" s="194">
        <v>256</v>
      </c>
      <c r="V55" s="195"/>
      <c r="W55" s="195"/>
      <c r="X55" s="88" t="s">
        <v>451</v>
      </c>
      <c r="Y55" s="89" t="s">
        <v>209</v>
      </c>
      <c r="Z55" s="196">
        <f t="shared" si="1"/>
        <v>128</v>
      </c>
      <c r="AA55" s="163"/>
      <c r="AB55" s="72"/>
    </row>
    <row r="56" spans="1:28" ht="15">
      <c r="A56" s="72"/>
      <c r="B56" s="176">
        <v>7</v>
      </c>
      <c r="C56" s="163"/>
      <c r="D56" s="177" t="s">
        <v>452</v>
      </c>
      <c r="E56" s="163"/>
      <c r="F56" s="163"/>
      <c r="G56" s="163"/>
      <c r="H56" s="163"/>
      <c r="I56" s="163"/>
      <c r="J56" s="163"/>
      <c r="K56" s="163"/>
      <c r="L56" s="163"/>
      <c r="M56" s="163"/>
      <c r="N56" s="177" t="s">
        <v>453</v>
      </c>
      <c r="O56" s="163"/>
      <c r="P56" s="163"/>
      <c r="Q56" s="163"/>
      <c r="R56" s="163"/>
      <c r="S56" s="163"/>
      <c r="T56" s="163"/>
      <c r="U56" s="194">
        <v>216</v>
      </c>
      <c r="V56" s="195"/>
      <c r="W56" s="195"/>
      <c r="X56" s="88" t="s">
        <v>413</v>
      </c>
      <c r="Y56" s="89" t="s">
        <v>206</v>
      </c>
      <c r="Z56" s="196">
        <f t="shared" si="1"/>
        <v>2160</v>
      </c>
      <c r="AA56" s="163"/>
      <c r="AB56" s="72"/>
    </row>
    <row r="57" spans="1:28" ht="15">
      <c r="A57" s="72"/>
      <c r="B57" s="176">
        <v>8</v>
      </c>
      <c r="C57" s="163"/>
      <c r="D57" s="177" t="s">
        <v>454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77" t="s">
        <v>455</v>
      </c>
      <c r="O57" s="163"/>
      <c r="P57" s="163"/>
      <c r="Q57" s="163"/>
      <c r="R57" s="163"/>
      <c r="S57" s="163"/>
      <c r="T57" s="163"/>
      <c r="U57" s="194">
        <v>22</v>
      </c>
      <c r="V57" s="195"/>
      <c r="W57" s="195"/>
      <c r="X57" s="88" t="s">
        <v>456</v>
      </c>
      <c r="Y57" s="89" t="s">
        <v>209</v>
      </c>
      <c r="Z57" s="196">
        <f t="shared" si="1"/>
        <v>48.400000000000006</v>
      </c>
      <c r="AA57" s="163"/>
      <c r="AB57" s="72"/>
    </row>
    <row r="58" spans="1:28" ht="15">
      <c r="A58" s="72"/>
      <c r="B58" s="176">
        <v>9</v>
      </c>
      <c r="C58" s="163"/>
      <c r="D58" s="177" t="s">
        <v>457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77" t="s">
        <v>458</v>
      </c>
      <c r="O58" s="163"/>
      <c r="P58" s="163"/>
      <c r="Q58" s="163"/>
      <c r="R58" s="163"/>
      <c r="S58" s="163"/>
      <c r="T58" s="163"/>
      <c r="U58" s="194">
        <v>41</v>
      </c>
      <c r="V58" s="195"/>
      <c r="W58" s="195"/>
      <c r="X58" s="88" t="s">
        <v>413</v>
      </c>
      <c r="Y58" s="89" t="s">
        <v>206</v>
      </c>
      <c r="Z58" s="196">
        <f t="shared" si="1"/>
        <v>410</v>
      </c>
      <c r="AA58" s="163"/>
      <c r="AB58" s="72"/>
    </row>
    <row r="59" spans="1:28" ht="15">
      <c r="A59" s="72"/>
      <c r="B59" s="176">
        <v>10</v>
      </c>
      <c r="C59" s="163"/>
      <c r="D59" s="177" t="s">
        <v>459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77" t="s">
        <v>460</v>
      </c>
      <c r="O59" s="163"/>
      <c r="P59" s="163"/>
      <c r="Q59" s="163"/>
      <c r="R59" s="163"/>
      <c r="S59" s="163"/>
      <c r="T59" s="163"/>
      <c r="U59" s="194">
        <v>12</v>
      </c>
      <c r="V59" s="195"/>
      <c r="W59" s="195"/>
      <c r="X59" s="88" t="s">
        <v>413</v>
      </c>
      <c r="Y59" s="89" t="s">
        <v>206</v>
      </c>
      <c r="Z59" s="196">
        <f t="shared" si="1"/>
        <v>120</v>
      </c>
      <c r="AA59" s="163"/>
      <c r="AB59" s="72"/>
    </row>
    <row r="60" spans="1:28" ht="15">
      <c r="A60" s="72"/>
      <c r="B60" s="176">
        <v>11</v>
      </c>
      <c r="C60" s="163"/>
      <c r="D60" s="177" t="s">
        <v>461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77" t="s">
        <v>462</v>
      </c>
      <c r="O60" s="163"/>
      <c r="P60" s="163"/>
      <c r="Q60" s="163"/>
      <c r="R60" s="163"/>
      <c r="S60" s="163"/>
      <c r="T60" s="163"/>
      <c r="U60" s="194">
        <v>85</v>
      </c>
      <c r="V60" s="195"/>
      <c r="W60" s="195"/>
      <c r="X60" s="88" t="s">
        <v>413</v>
      </c>
      <c r="Y60" s="89" t="s">
        <v>206</v>
      </c>
      <c r="Z60" s="196">
        <f t="shared" si="1"/>
        <v>850</v>
      </c>
      <c r="AA60" s="163"/>
      <c r="AB60" s="72"/>
    </row>
    <row r="61" spans="1:28" ht="15">
      <c r="A61" s="72"/>
      <c r="B61" s="94">
        <f>SUM(Z50:AA60)</f>
        <v>13564.5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>
        <f>SUM(Z50:AA60)</f>
        <v>13564.5</v>
      </c>
      <c r="AB61" s="72"/>
    </row>
    <row r="62" spans="1:28" ht="15" hidden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1:28" ht="15" hidden="1">
      <c r="A63" s="72"/>
      <c r="B63" s="174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72"/>
    </row>
    <row r="64" spans="1:28" ht="15" hidden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1:28" ht="15" hidden="1">
      <c r="A65" s="72"/>
      <c r="B65" s="72"/>
      <c r="C65" s="176"/>
      <c r="D65" s="163"/>
      <c r="E65" s="72"/>
      <c r="F65" s="176"/>
      <c r="G65" s="163"/>
      <c r="H65" s="163"/>
      <c r="I65" s="163"/>
      <c r="J65" s="163"/>
      <c r="K65" s="72"/>
      <c r="L65" s="177"/>
      <c r="M65" s="163"/>
      <c r="N65" s="163"/>
      <c r="O65" s="163"/>
      <c r="P65" s="163"/>
      <c r="Q65" s="163"/>
      <c r="R65" s="163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1:28" ht="1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1:28" ht="15">
      <c r="A67" s="72"/>
      <c r="B67" s="187" t="s">
        <v>340</v>
      </c>
      <c r="C67" s="188"/>
      <c r="D67" s="188"/>
      <c r="E67" s="188"/>
      <c r="F67" s="188"/>
      <c r="G67" s="188"/>
      <c r="H67" s="188"/>
      <c r="I67" s="72"/>
      <c r="J67" s="189" t="s">
        <v>345</v>
      </c>
      <c r="K67" s="188"/>
      <c r="L67" s="188"/>
      <c r="M67" s="188"/>
      <c r="N67" s="188"/>
      <c r="O67" s="188"/>
      <c r="P67" s="188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</row>
    <row r="68" spans="1:28" ht="15">
      <c r="A68" s="72"/>
      <c r="B68" s="189" t="s">
        <v>346</v>
      </c>
      <c r="C68" s="188"/>
      <c r="D68" s="188"/>
      <c r="E68" s="188"/>
      <c r="F68" s="188"/>
      <c r="G68" s="188"/>
      <c r="H68" s="188"/>
      <c r="I68" s="84"/>
      <c r="J68" s="178">
        <f>AA61</f>
        <v>13564.5</v>
      </c>
      <c r="K68" s="179"/>
      <c r="L68" s="179"/>
      <c r="M68" s="179"/>
      <c r="N68" s="179"/>
      <c r="O68" s="179"/>
      <c r="P68" s="179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</row>
    <row r="69" spans="1:28" ht="15" hidden="1">
      <c r="A69" s="72"/>
      <c r="B69" s="72"/>
      <c r="C69" s="72"/>
      <c r="D69" s="72"/>
      <c r="E69" s="72"/>
      <c r="F69" s="72"/>
      <c r="G69" s="72"/>
      <c r="H69" s="72"/>
      <c r="I69" s="72"/>
      <c r="J69" s="86"/>
      <c r="K69" s="86"/>
      <c r="L69" s="86"/>
      <c r="M69" s="86"/>
      <c r="N69" s="86"/>
      <c r="O69" s="86"/>
      <c r="P69" s="86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</row>
    <row r="70" spans="1:28" ht="15" hidden="1">
      <c r="A70" s="72"/>
      <c r="B70" s="72"/>
      <c r="C70" s="72"/>
      <c r="D70" s="72"/>
      <c r="E70" s="72"/>
      <c r="F70" s="72"/>
      <c r="G70" s="72"/>
      <c r="H70" s="72"/>
      <c r="I70" s="72"/>
      <c r="J70" s="86"/>
      <c r="K70" s="86"/>
      <c r="L70" s="86"/>
      <c r="M70" s="86"/>
      <c r="N70" s="86"/>
      <c r="O70" s="86"/>
      <c r="P70" s="86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</row>
    <row r="71" spans="1:28" ht="15">
      <c r="A71" s="72"/>
      <c r="B71" s="190" t="s">
        <v>217</v>
      </c>
      <c r="C71" s="163"/>
      <c r="D71" s="163"/>
      <c r="E71" s="163"/>
      <c r="F71" s="163"/>
      <c r="G71" s="163"/>
      <c r="H71" s="163"/>
      <c r="I71" s="72"/>
      <c r="J71" s="183">
        <f>AA61</f>
        <v>13564.5</v>
      </c>
      <c r="K71" s="184"/>
      <c r="L71" s="184"/>
      <c r="M71" s="184"/>
      <c r="N71" s="184"/>
      <c r="O71" s="184"/>
      <c r="P71" s="184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</row>
    <row r="72" spans="1:28" ht="15" hidden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</row>
    <row r="73" spans="1:28" ht="15" hidden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</row>
    <row r="74" spans="1:28" ht="1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</row>
    <row r="75" spans="1:28" ht="15">
      <c r="A75" s="72"/>
      <c r="B75" s="169" t="s">
        <v>463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72"/>
    </row>
    <row r="76" spans="1:28" ht="1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</row>
    <row r="77" spans="1:28" ht="15">
      <c r="A77" s="72"/>
      <c r="B77" s="197" t="s">
        <v>382</v>
      </c>
      <c r="C77" s="192"/>
      <c r="D77" s="198" t="s">
        <v>383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8" t="s">
        <v>344</v>
      </c>
      <c r="O77" s="192"/>
      <c r="P77" s="192"/>
      <c r="Q77" s="192"/>
      <c r="R77" s="192"/>
      <c r="S77" s="192"/>
      <c r="T77" s="192"/>
      <c r="U77" s="197" t="s">
        <v>384</v>
      </c>
      <c r="V77" s="192"/>
      <c r="W77" s="192"/>
      <c r="X77" s="97" t="s">
        <v>212</v>
      </c>
      <c r="Y77" s="98" t="s">
        <v>385</v>
      </c>
      <c r="Z77" s="197" t="s">
        <v>386</v>
      </c>
      <c r="AA77" s="192"/>
      <c r="AB77" s="72"/>
    </row>
    <row r="78" spans="1:28" ht="15">
      <c r="A78" s="72"/>
      <c r="B78" s="176">
        <v>1</v>
      </c>
      <c r="C78" s="163"/>
      <c r="D78" s="177" t="s">
        <v>464</v>
      </c>
      <c r="E78" s="163"/>
      <c r="F78" s="163"/>
      <c r="G78" s="163"/>
      <c r="H78" s="163"/>
      <c r="I78" s="163"/>
      <c r="J78" s="163"/>
      <c r="K78" s="163"/>
      <c r="L78" s="163"/>
      <c r="M78" s="163"/>
      <c r="N78" s="177" t="s">
        <v>465</v>
      </c>
      <c r="O78" s="163"/>
      <c r="P78" s="163"/>
      <c r="Q78" s="163"/>
      <c r="R78" s="163"/>
      <c r="S78" s="163"/>
      <c r="T78" s="163"/>
      <c r="U78" s="194">
        <v>47</v>
      </c>
      <c r="V78" s="195"/>
      <c r="W78" s="195"/>
      <c r="X78" s="99">
        <v>8</v>
      </c>
      <c r="Y78" s="89" t="s">
        <v>206</v>
      </c>
      <c r="Z78" s="196">
        <f>U78*X78</f>
        <v>376</v>
      </c>
      <c r="AA78" s="163"/>
      <c r="AB78" s="72"/>
    </row>
    <row r="79" spans="1:28" ht="15">
      <c r="A79" s="72"/>
      <c r="B79" s="176">
        <v>2</v>
      </c>
      <c r="C79" s="163"/>
      <c r="D79" s="177" t="s">
        <v>466</v>
      </c>
      <c r="E79" s="163"/>
      <c r="F79" s="163"/>
      <c r="G79" s="163"/>
      <c r="H79" s="163"/>
      <c r="I79" s="163"/>
      <c r="J79" s="163"/>
      <c r="K79" s="163"/>
      <c r="L79" s="163"/>
      <c r="M79" s="163"/>
      <c r="N79" s="177" t="s">
        <v>467</v>
      </c>
      <c r="O79" s="163"/>
      <c r="P79" s="163"/>
      <c r="Q79" s="163"/>
      <c r="R79" s="163"/>
      <c r="S79" s="163"/>
      <c r="T79" s="163"/>
      <c r="U79" s="194">
        <v>48</v>
      </c>
      <c r="V79" s="195"/>
      <c r="W79" s="195"/>
      <c r="X79" s="99">
        <v>4</v>
      </c>
      <c r="Y79" s="89" t="s">
        <v>393</v>
      </c>
      <c r="Z79" s="196">
        <f aca="true" t="shared" si="2" ref="Z79:Z95">U79*X79</f>
        <v>192</v>
      </c>
      <c r="AA79" s="163"/>
      <c r="AB79" s="72"/>
    </row>
    <row r="80" spans="1:28" ht="15">
      <c r="A80" s="72"/>
      <c r="B80" s="176">
        <v>3</v>
      </c>
      <c r="C80" s="163"/>
      <c r="D80" s="177" t="s">
        <v>468</v>
      </c>
      <c r="E80" s="163"/>
      <c r="F80" s="163"/>
      <c r="G80" s="163"/>
      <c r="H80" s="163"/>
      <c r="I80" s="163"/>
      <c r="J80" s="163"/>
      <c r="K80" s="163"/>
      <c r="L80" s="163"/>
      <c r="M80" s="163"/>
      <c r="N80" s="177" t="s">
        <v>469</v>
      </c>
      <c r="O80" s="163"/>
      <c r="P80" s="163"/>
      <c r="Q80" s="163"/>
      <c r="R80" s="163"/>
      <c r="S80" s="163"/>
      <c r="T80" s="163"/>
      <c r="U80" s="194">
        <v>41</v>
      </c>
      <c r="V80" s="195"/>
      <c r="W80" s="195"/>
      <c r="X80" s="99">
        <v>4</v>
      </c>
      <c r="Y80" s="89" t="s">
        <v>393</v>
      </c>
      <c r="Z80" s="196">
        <f t="shared" si="2"/>
        <v>164</v>
      </c>
      <c r="AA80" s="163"/>
      <c r="AB80" s="72"/>
    </row>
    <row r="81" spans="1:28" ht="15">
      <c r="A81" s="72"/>
      <c r="B81" s="176">
        <v>4</v>
      </c>
      <c r="C81" s="163"/>
      <c r="D81" s="177" t="s">
        <v>470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77" t="s">
        <v>471</v>
      </c>
      <c r="O81" s="163"/>
      <c r="P81" s="163"/>
      <c r="Q81" s="163"/>
      <c r="R81" s="163"/>
      <c r="S81" s="163"/>
      <c r="T81" s="163"/>
      <c r="U81" s="194">
        <v>1750</v>
      </c>
      <c r="V81" s="195"/>
      <c r="W81" s="195"/>
      <c r="X81" s="99">
        <v>4</v>
      </c>
      <c r="Y81" s="89" t="s">
        <v>393</v>
      </c>
      <c r="Z81" s="196">
        <f t="shared" si="2"/>
        <v>7000</v>
      </c>
      <c r="AA81" s="163"/>
      <c r="AB81" s="72"/>
    </row>
    <row r="82" spans="1:28" ht="15">
      <c r="A82" s="72"/>
      <c r="B82" s="176">
        <v>5</v>
      </c>
      <c r="C82" s="163"/>
      <c r="D82" s="177" t="s">
        <v>472</v>
      </c>
      <c r="E82" s="163"/>
      <c r="F82" s="163"/>
      <c r="G82" s="163"/>
      <c r="H82" s="163"/>
      <c r="I82" s="163"/>
      <c r="J82" s="163"/>
      <c r="K82" s="163"/>
      <c r="L82" s="163"/>
      <c r="M82" s="163"/>
      <c r="N82" s="177" t="s">
        <v>410</v>
      </c>
      <c r="O82" s="163"/>
      <c r="P82" s="163"/>
      <c r="Q82" s="163"/>
      <c r="R82" s="163"/>
      <c r="S82" s="163"/>
      <c r="T82" s="163"/>
      <c r="U82" s="194">
        <v>644</v>
      </c>
      <c r="V82" s="195"/>
      <c r="W82" s="195"/>
      <c r="X82" s="99">
        <v>2</v>
      </c>
      <c r="Y82" s="89" t="s">
        <v>393</v>
      </c>
      <c r="Z82" s="196">
        <f t="shared" si="2"/>
        <v>1288</v>
      </c>
      <c r="AA82" s="163"/>
      <c r="AB82" s="72"/>
    </row>
    <row r="83" spans="1:28" ht="15">
      <c r="A83" s="72"/>
      <c r="B83" s="176">
        <v>6</v>
      </c>
      <c r="C83" s="163"/>
      <c r="D83" s="177" t="s">
        <v>473</v>
      </c>
      <c r="E83" s="163"/>
      <c r="F83" s="163"/>
      <c r="G83" s="163"/>
      <c r="H83" s="163"/>
      <c r="I83" s="163"/>
      <c r="J83" s="163"/>
      <c r="K83" s="163"/>
      <c r="L83" s="163"/>
      <c r="M83" s="163"/>
      <c r="N83" s="177" t="s">
        <v>474</v>
      </c>
      <c r="O83" s="163"/>
      <c r="P83" s="163"/>
      <c r="Q83" s="163"/>
      <c r="R83" s="163"/>
      <c r="S83" s="163"/>
      <c r="T83" s="163"/>
      <c r="U83" s="194">
        <v>42</v>
      </c>
      <c r="V83" s="195"/>
      <c r="W83" s="195"/>
      <c r="X83" s="99">
        <v>10</v>
      </c>
      <c r="Y83" s="89" t="s">
        <v>206</v>
      </c>
      <c r="Z83" s="196">
        <f t="shared" si="2"/>
        <v>420</v>
      </c>
      <c r="AA83" s="163"/>
      <c r="AB83" s="72"/>
    </row>
    <row r="84" spans="1:28" ht="15">
      <c r="A84" s="72"/>
      <c r="B84" s="176">
        <v>7</v>
      </c>
      <c r="C84" s="163"/>
      <c r="D84" s="177" t="s">
        <v>475</v>
      </c>
      <c r="E84" s="163"/>
      <c r="F84" s="163"/>
      <c r="G84" s="163"/>
      <c r="H84" s="163"/>
      <c r="I84" s="163"/>
      <c r="J84" s="163"/>
      <c r="K84" s="163"/>
      <c r="L84" s="163"/>
      <c r="M84" s="163"/>
      <c r="N84" s="177" t="s">
        <v>417</v>
      </c>
      <c r="O84" s="163"/>
      <c r="P84" s="163"/>
      <c r="Q84" s="163"/>
      <c r="R84" s="163"/>
      <c r="S84" s="163"/>
      <c r="T84" s="163"/>
      <c r="U84" s="194">
        <v>20</v>
      </c>
      <c r="V84" s="195"/>
      <c r="W84" s="195"/>
      <c r="X84" s="99">
        <v>2</v>
      </c>
      <c r="Y84" s="89" t="s">
        <v>393</v>
      </c>
      <c r="Z84" s="196">
        <f t="shared" si="2"/>
        <v>40</v>
      </c>
      <c r="AA84" s="163"/>
      <c r="AB84" s="72"/>
    </row>
    <row r="85" spans="1:28" ht="15">
      <c r="A85" s="72"/>
      <c r="B85" s="176">
        <v>8</v>
      </c>
      <c r="C85" s="163"/>
      <c r="D85" s="177" t="s">
        <v>476</v>
      </c>
      <c r="E85" s="163"/>
      <c r="F85" s="163"/>
      <c r="G85" s="163"/>
      <c r="H85" s="163"/>
      <c r="I85" s="163"/>
      <c r="J85" s="163"/>
      <c r="K85" s="163"/>
      <c r="L85" s="163"/>
      <c r="M85" s="163"/>
      <c r="N85" s="177" t="s">
        <v>477</v>
      </c>
      <c r="O85" s="163"/>
      <c r="P85" s="163"/>
      <c r="Q85" s="163"/>
      <c r="R85" s="163"/>
      <c r="S85" s="163"/>
      <c r="T85" s="163"/>
      <c r="U85" s="194">
        <v>23</v>
      </c>
      <c r="V85" s="195"/>
      <c r="W85" s="195"/>
      <c r="X85" s="99">
        <v>10</v>
      </c>
      <c r="Y85" s="89" t="s">
        <v>393</v>
      </c>
      <c r="Z85" s="196">
        <f t="shared" si="2"/>
        <v>230</v>
      </c>
      <c r="AA85" s="163"/>
      <c r="AB85" s="72"/>
    </row>
    <row r="86" spans="1:28" ht="15">
      <c r="A86" s="72"/>
      <c r="B86" s="176">
        <v>9</v>
      </c>
      <c r="C86" s="163"/>
      <c r="D86" s="177" t="s">
        <v>478</v>
      </c>
      <c r="E86" s="163"/>
      <c r="F86" s="163"/>
      <c r="G86" s="163"/>
      <c r="H86" s="163"/>
      <c r="I86" s="163"/>
      <c r="J86" s="163"/>
      <c r="K86" s="163"/>
      <c r="L86" s="163"/>
      <c r="M86" s="163"/>
      <c r="N86" s="177" t="s">
        <v>479</v>
      </c>
      <c r="O86" s="163"/>
      <c r="P86" s="163"/>
      <c r="Q86" s="163"/>
      <c r="R86" s="163"/>
      <c r="S86" s="163"/>
      <c r="T86" s="163"/>
      <c r="U86" s="194">
        <v>746</v>
      </c>
      <c r="V86" s="195"/>
      <c r="W86" s="195"/>
      <c r="X86" s="99">
        <v>2</v>
      </c>
      <c r="Y86" s="89" t="s">
        <v>393</v>
      </c>
      <c r="Z86" s="196">
        <f t="shared" si="2"/>
        <v>1492</v>
      </c>
      <c r="AA86" s="163"/>
      <c r="AB86" s="72"/>
    </row>
    <row r="87" spans="1:28" ht="15">
      <c r="A87" s="72"/>
      <c r="B87" s="176">
        <v>10</v>
      </c>
      <c r="C87" s="163"/>
      <c r="D87" s="177" t="s">
        <v>480</v>
      </c>
      <c r="E87" s="163"/>
      <c r="F87" s="163"/>
      <c r="G87" s="163"/>
      <c r="H87" s="163"/>
      <c r="I87" s="163"/>
      <c r="J87" s="163"/>
      <c r="K87" s="163"/>
      <c r="L87" s="163"/>
      <c r="M87" s="163"/>
      <c r="N87" s="177" t="s">
        <v>481</v>
      </c>
      <c r="O87" s="163"/>
      <c r="P87" s="163"/>
      <c r="Q87" s="163"/>
      <c r="R87" s="163"/>
      <c r="S87" s="163"/>
      <c r="T87" s="163"/>
      <c r="U87" s="194">
        <v>16</v>
      </c>
      <c r="V87" s="195"/>
      <c r="W87" s="195"/>
      <c r="X87" s="99">
        <v>32</v>
      </c>
      <c r="Y87" s="89" t="s">
        <v>206</v>
      </c>
      <c r="Z87" s="196">
        <f t="shared" si="2"/>
        <v>512</v>
      </c>
      <c r="AA87" s="163"/>
      <c r="AB87" s="72"/>
    </row>
    <row r="88" spans="1:28" ht="15">
      <c r="A88" s="72"/>
      <c r="B88" s="176">
        <v>11</v>
      </c>
      <c r="C88" s="163"/>
      <c r="D88" s="177" t="s">
        <v>482</v>
      </c>
      <c r="E88" s="163"/>
      <c r="F88" s="163"/>
      <c r="G88" s="163"/>
      <c r="H88" s="163"/>
      <c r="I88" s="163"/>
      <c r="J88" s="163"/>
      <c r="K88" s="163"/>
      <c r="L88" s="163"/>
      <c r="M88" s="163"/>
      <c r="N88" s="177" t="s">
        <v>483</v>
      </c>
      <c r="O88" s="163"/>
      <c r="P88" s="163"/>
      <c r="Q88" s="163"/>
      <c r="R88" s="163"/>
      <c r="S88" s="163"/>
      <c r="T88" s="163"/>
      <c r="U88" s="194">
        <v>26</v>
      </c>
      <c r="V88" s="195"/>
      <c r="W88" s="195"/>
      <c r="X88" s="99">
        <v>4</v>
      </c>
      <c r="Y88" s="89" t="s">
        <v>393</v>
      </c>
      <c r="Z88" s="196">
        <f t="shared" si="2"/>
        <v>104</v>
      </c>
      <c r="AA88" s="163"/>
      <c r="AB88" s="72"/>
    </row>
    <row r="89" spans="1:28" ht="15">
      <c r="A89" s="72"/>
      <c r="B89" s="176">
        <v>12</v>
      </c>
      <c r="C89" s="163"/>
      <c r="D89" s="177" t="s">
        <v>484</v>
      </c>
      <c r="E89" s="163"/>
      <c r="F89" s="163"/>
      <c r="G89" s="163"/>
      <c r="H89" s="163"/>
      <c r="I89" s="163"/>
      <c r="J89" s="163"/>
      <c r="K89" s="163"/>
      <c r="L89" s="163"/>
      <c r="M89" s="163"/>
      <c r="N89" s="177" t="s">
        <v>485</v>
      </c>
      <c r="O89" s="163"/>
      <c r="P89" s="163"/>
      <c r="Q89" s="163"/>
      <c r="R89" s="163"/>
      <c r="S89" s="163"/>
      <c r="T89" s="163"/>
      <c r="U89" s="194">
        <v>37</v>
      </c>
      <c r="V89" s="195"/>
      <c r="W89" s="195"/>
      <c r="X89" s="99">
        <v>4</v>
      </c>
      <c r="Y89" s="89" t="s">
        <v>393</v>
      </c>
      <c r="Z89" s="196">
        <f t="shared" si="2"/>
        <v>148</v>
      </c>
      <c r="AA89" s="163"/>
      <c r="AB89" s="72"/>
    </row>
    <row r="90" spans="1:28" ht="15">
      <c r="A90" s="72"/>
      <c r="B90" s="176">
        <v>13</v>
      </c>
      <c r="C90" s="163"/>
      <c r="D90" s="177" t="s">
        <v>486</v>
      </c>
      <c r="E90" s="163"/>
      <c r="F90" s="163"/>
      <c r="G90" s="163"/>
      <c r="H90" s="163"/>
      <c r="I90" s="163"/>
      <c r="J90" s="163"/>
      <c r="K90" s="163"/>
      <c r="L90" s="163"/>
      <c r="M90" s="163"/>
      <c r="N90" s="177" t="s">
        <v>487</v>
      </c>
      <c r="O90" s="163"/>
      <c r="P90" s="163"/>
      <c r="Q90" s="163"/>
      <c r="R90" s="163"/>
      <c r="S90" s="163"/>
      <c r="T90" s="163"/>
      <c r="U90" s="194">
        <v>42</v>
      </c>
      <c r="V90" s="195"/>
      <c r="W90" s="195"/>
      <c r="X90" s="99">
        <v>5</v>
      </c>
      <c r="Y90" s="89" t="s">
        <v>206</v>
      </c>
      <c r="Z90" s="196">
        <f t="shared" si="2"/>
        <v>210</v>
      </c>
      <c r="AA90" s="163"/>
      <c r="AB90" s="72"/>
    </row>
    <row r="91" spans="1:28" ht="15">
      <c r="A91" s="72"/>
      <c r="B91" s="176">
        <v>14</v>
      </c>
      <c r="C91" s="163"/>
      <c r="D91" s="177" t="s">
        <v>488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77" t="s">
        <v>489</v>
      </c>
      <c r="O91" s="163"/>
      <c r="P91" s="163"/>
      <c r="Q91" s="163"/>
      <c r="R91" s="163"/>
      <c r="S91" s="163"/>
      <c r="T91" s="163"/>
      <c r="U91" s="194">
        <v>161</v>
      </c>
      <c r="V91" s="195"/>
      <c r="W91" s="195"/>
      <c r="X91" s="99">
        <v>10</v>
      </c>
      <c r="Y91" s="89" t="s">
        <v>206</v>
      </c>
      <c r="Z91" s="196">
        <f t="shared" si="2"/>
        <v>1610</v>
      </c>
      <c r="AA91" s="163"/>
      <c r="AB91" s="72"/>
    </row>
    <row r="92" spans="1:28" ht="15">
      <c r="A92" s="72"/>
      <c r="B92" s="176">
        <v>15</v>
      </c>
      <c r="C92" s="163"/>
      <c r="D92" s="177" t="s">
        <v>490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77" t="s">
        <v>491</v>
      </c>
      <c r="O92" s="163"/>
      <c r="P92" s="163"/>
      <c r="Q92" s="163"/>
      <c r="R92" s="163"/>
      <c r="S92" s="163"/>
      <c r="T92" s="163"/>
      <c r="U92" s="194">
        <v>12</v>
      </c>
      <c r="V92" s="195"/>
      <c r="W92" s="195"/>
      <c r="X92" s="99">
        <v>153.51</v>
      </c>
      <c r="Y92" s="89" t="s">
        <v>209</v>
      </c>
      <c r="Z92" s="196">
        <f t="shared" si="2"/>
        <v>1842.12</v>
      </c>
      <c r="AA92" s="163"/>
      <c r="AB92" s="72"/>
    </row>
    <row r="93" spans="1:28" ht="15">
      <c r="A93" s="72"/>
      <c r="B93" s="176">
        <v>16</v>
      </c>
      <c r="C93" s="163"/>
      <c r="D93" s="177" t="s">
        <v>492</v>
      </c>
      <c r="E93" s="163"/>
      <c r="F93" s="163"/>
      <c r="G93" s="163"/>
      <c r="H93" s="163"/>
      <c r="I93" s="163"/>
      <c r="J93" s="163"/>
      <c r="K93" s="163"/>
      <c r="L93" s="163"/>
      <c r="M93" s="163"/>
      <c r="N93" s="177" t="s">
        <v>493</v>
      </c>
      <c r="O93" s="163"/>
      <c r="P93" s="163"/>
      <c r="Q93" s="163"/>
      <c r="R93" s="163"/>
      <c r="S93" s="163"/>
      <c r="T93" s="163"/>
      <c r="U93" s="194">
        <v>5</v>
      </c>
      <c r="V93" s="195"/>
      <c r="W93" s="195"/>
      <c r="X93" s="99">
        <v>10</v>
      </c>
      <c r="Y93" s="89" t="s">
        <v>494</v>
      </c>
      <c r="Z93" s="196">
        <f t="shared" si="2"/>
        <v>50</v>
      </c>
      <c r="AA93" s="163"/>
      <c r="AB93" s="72"/>
    </row>
    <row r="94" spans="1:28" ht="15">
      <c r="A94" s="72"/>
      <c r="B94" s="176">
        <v>17</v>
      </c>
      <c r="C94" s="163"/>
      <c r="D94" s="177" t="s">
        <v>495</v>
      </c>
      <c r="E94" s="163"/>
      <c r="F94" s="163"/>
      <c r="G94" s="163"/>
      <c r="H94" s="163"/>
      <c r="I94" s="163"/>
      <c r="J94" s="163"/>
      <c r="K94" s="163"/>
      <c r="L94" s="163"/>
      <c r="M94" s="163"/>
      <c r="N94" s="177" t="s">
        <v>496</v>
      </c>
      <c r="O94" s="163"/>
      <c r="P94" s="163"/>
      <c r="Q94" s="163"/>
      <c r="R94" s="163"/>
      <c r="S94" s="163"/>
      <c r="T94" s="163"/>
      <c r="U94" s="194">
        <v>6145</v>
      </c>
      <c r="V94" s="195"/>
      <c r="W94" s="195"/>
      <c r="X94" s="99">
        <v>2</v>
      </c>
      <c r="Y94" s="89" t="s">
        <v>393</v>
      </c>
      <c r="Z94" s="196">
        <f t="shared" si="2"/>
        <v>12290</v>
      </c>
      <c r="AA94" s="163"/>
      <c r="AB94" s="72"/>
    </row>
    <row r="95" spans="1:28" ht="15">
      <c r="A95" s="72"/>
      <c r="B95" s="176">
        <v>18</v>
      </c>
      <c r="C95" s="163"/>
      <c r="D95" s="177" t="s">
        <v>497</v>
      </c>
      <c r="E95" s="163"/>
      <c r="F95" s="163"/>
      <c r="G95" s="163"/>
      <c r="H95" s="163"/>
      <c r="I95" s="163"/>
      <c r="J95" s="163"/>
      <c r="K95" s="163"/>
      <c r="L95" s="163"/>
      <c r="M95" s="163"/>
      <c r="N95" s="177" t="s">
        <v>498</v>
      </c>
      <c r="O95" s="163"/>
      <c r="P95" s="163"/>
      <c r="Q95" s="163"/>
      <c r="R95" s="163"/>
      <c r="S95" s="163"/>
      <c r="T95" s="163"/>
      <c r="U95" s="194">
        <v>17649</v>
      </c>
      <c r="V95" s="195"/>
      <c r="W95" s="195"/>
      <c r="X95" s="99">
        <v>4</v>
      </c>
      <c r="Y95" s="89" t="s">
        <v>393</v>
      </c>
      <c r="Z95" s="196">
        <f t="shared" si="2"/>
        <v>70596</v>
      </c>
      <c r="AA95" s="163"/>
      <c r="AB95" s="72"/>
    </row>
    <row r="96" spans="1:28" ht="15">
      <c r="A96" s="72"/>
      <c r="B96" s="94">
        <f>SUM(Z78:AA95)</f>
        <v>98564.12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6">
        <f>SUM(Z78:AA95)</f>
        <v>98564.12</v>
      </c>
      <c r="AB96" s="72"/>
    </row>
    <row r="97" spans="1:28" ht="15" hidden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1:28" ht="15" hidden="1">
      <c r="A98" s="72"/>
      <c r="B98" s="174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72"/>
    </row>
    <row r="99" spans="1:28" ht="15" hidden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</row>
    <row r="100" spans="1:28" ht="15" hidden="1">
      <c r="A100" s="72"/>
      <c r="B100" s="72"/>
      <c r="C100" s="176"/>
      <c r="D100" s="163"/>
      <c r="E100" s="72"/>
      <c r="F100" s="176"/>
      <c r="G100" s="163"/>
      <c r="H100" s="163"/>
      <c r="I100" s="163"/>
      <c r="J100" s="163"/>
      <c r="K100" s="163"/>
      <c r="L100" s="163"/>
      <c r="M100" s="177"/>
      <c r="N100" s="163"/>
      <c r="O100" s="163"/>
      <c r="P100" s="163"/>
      <c r="Q100" s="163"/>
      <c r="R100" s="163"/>
      <c r="S100" s="163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1:28" ht="1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  <row r="102" spans="1:28" ht="15">
      <c r="A102" s="72"/>
      <c r="B102" s="177" t="s">
        <v>340</v>
      </c>
      <c r="C102" s="163"/>
      <c r="D102" s="163"/>
      <c r="E102" s="163"/>
      <c r="F102" s="163"/>
      <c r="G102" s="175" t="s">
        <v>346</v>
      </c>
      <c r="H102" s="163"/>
      <c r="I102" s="163"/>
      <c r="J102" s="163"/>
      <c r="K102" s="163"/>
      <c r="L102" s="163"/>
      <c r="M102" s="163"/>
      <c r="N102" s="163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</row>
    <row r="103" spans="1:28" ht="15">
      <c r="A103" s="72"/>
      <c r="B103" s="177" t="s">
        <v>499</v>
      </c>
      <c r="C103" s="163"/>
      <c r="D103" s="163"/>
      <c r="E103" s="163"/>
      <c r="F103" s="163"/>
      <c r="G103" s="200">
        <f>((Z78+Z83+Z87+Z90+Z91+Z93)/100)*5</f>
        <v>158.9</v>
      </c>
      <c r="H103" s="184"/>
      <c r="I103" s="184"/>
      <c r="J103" s="184"/>
      <c r="K103" s="184"/>
      <c r="L103" s="184"/>
      <c r="M103" s="184"/>
      <c r="N103" s="184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</row>
    <row r="104" spans="1:28" ht="15" hidden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:28" ht="15" hidden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</row>
    <row r="106" spans="1:28" ht="15">
      <c r="A106" s="72"/>
      <c r="B106" s="187" t="s">
        <v>340</v>
      </c>
      <c r="C106" s="188"/>
      <c r="D106" s="188"/>
      <c r="E106" s="188"/>
      <c r="F106" s="188"/>
      <c r="G106" s="188"/>
      <c r="H106" s="188"/>
      <c r="I106" s="72"/>
      <c r="J106" s="189" t="s">
        <v>345</v>
      </c>
      <c r="K106" s="188"/>
      <c r="L106" s="188"/>
      <c r="M106" s="188"/>
      <c r="N106" s="188"/>
      <c r="O106" s="188"/>
      <c r="P106" s="188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</row>
    <row r="107" spans="1:28" ht="15">
      <c r="A107" s="72"/>
      <c r="B107" s="189" t="s">
        <v>346</v>
      </c>
      <c r="C107" s="188"/>
      <c r="D107" s="188"/>
      <c r="E107" s="188"/>
      <c r="F107" s="188"/>
      <c r="G107" s="188"/>
      <c r="H107" s="188"/>
      <c r="I107" s="84"/>
      <c r="J107" s="201">
        <f>AA96+G103</f>
        <v>98723.01999999999</v>
      </c>
      <c r="K107" s="201"/>
      <c r="L107" s="201"/>
      <c r="M107" s="201"/>
      <c r="N107" s="201"/>
      <c r="O107" s="201"/>
      <c r="P107" s="201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</row>
    <row r="108" spans="1:28" ht="15" hidden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</row>
    <row r="109" spans="1:28" ht="15" hidden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</row>
    <row r="110" spans="1:28" ht="15">
      <c r="A110" s="72"/>
      <c r="B110" s="190" t="s">
        <v>217</v>
      </c>
      <c r="C110" s="163"/>
      <c r="D110" s="163"/>
      <c r="E110" s="163"/>
      <c r="F110" s="163"/>
      <c r="G110" s="163"/>
      <c r="H110" s="163"/>
      <c r="I110" s="72"/>
      <c r="J110" s="199">
        <f>G103+AA96</f>
        <v>98723.01999999999</v>
      </c>
      <c r="K110" s="163"/>
      <c r="L110" s="163"/>
      <c r="M110" s="163"/>
      <c r="N110" s="163"/>
      <c r="O110" s="163"/>
      <c r="P110" s="163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</row>
    <row r="111" spans="1:28" ht="1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</row>
  </sheetData>
  <sheetProtection password="CB35" sheet="1" objects="1" scenarios="1"/>
  <mergeCells count="301">
    <mergeCell ref="B110:H110"/>
    <mergeCell ref="J110:P110"/>
    <mergeCell ref="B103:F103"/>
    <mergeCell ref="G103:N103"/>
    <mergeCell ref="B106:H106"/>
    <mergeCell ref="J106:P106"/>
    <mergeCell ref="B107:H107"/>
    <mergeCell ref="J107:P107"/>
    <mergeCell ref="B98:AA98"/>
    <mergeCell ref="C100:D100"/>
    <mergeCell ref="F100:L100"/>
    <mergeCell ref="M100:S100"/>
    <mergeCell ref="B102:F102"/>
    <mergeCell ref="G102:N102"/>
    <mergeCell ref="B94:C94"/>
    <mergeCell ref="D94:M94"/>
    <mergeCell ref="N94:T94"/>
    <mergeCell ref="U94:W94"/>
    <mergeCell ref="Z94:AA94"/>
    <mergeCell ref="B95:C95"/>
    <mergeCell ref="D95:M95"/>
    <mergeCell ref="N95:T95"/>
    <mergeCell ref="U95:W95"/>
    <mergeCell ref="Z95:AA95"/>
    <mergeCell ref="B92:C92"/>
    <mergeCell ref="D92:M92"/>
    <mergeCell ref="N92:T92"/>
    <mergeCell ref="U92:W92"/>
    <mergeCell ref="Z92:AA92"/>
    <mergeCell ref="B93:C93"/>
    <mergeCell ref="D93:M93"/>
    <mergeCell ref="N93:T93"/>
    <mergeCell ref="U93:W93"/>
    <mergeCell ref="Z93:AA93"/>
    <mergeCell ref="B90:C90"/>
    <mergeCell ref="D90:M90"/>
    <mergeCell ref="N90:T90"/>
    <mergeCell ref="U90:W90"/>
    <mergeCell ref="Z90:AA90"/>
    <mergeCell ref="B91:C91"/>
    <mergeCell ref="D91:M91"/>
    <mergeCell ref="N91:T91"/>
    <mergeCell ref="U91:W91"/>
    <mergeCell ref="Z91:AA91"/>
    <mergeCell ref="B88:C88"/>
    <mergeCell ref="D88:M88"/>
    <mergeCell ref="N88:T88"/>
    <mergeCell ref="U88:W88"/>
    <mergeCell ref="Z88:AA88"/>
    <mergeCell ref="B89:C89"/>
    <mergeCell ref="D89:M89"/>
    <mergeCell ref="N89:T89"/>
    <mergeCell ref="U89:W89"/>
    <mergeCell ref="Z89:AA89"/>
    <mergeCell ref="B86:C86"/>
    <mergeCell ref="D86:M86"/>
    <mergeCell ref="N86:T86"/>
    <mergeCell ref="U86:W86"/>
    <mergeCell ref="Z86:AA86"/>
    <mergeCell ref="B87:C87"/>
    <mergeCell ref="D87:M87"/>
    <mergeCell ref="N87:T87"/>
    <mergeCell ref="U87:W87"/>
    <mergeCell ref="Z87:AA87"/>
    <mergeCell ref="B84:C84"/>
    <mergeCell ref="D84:M84"/>
    <mergeCell ref="N84:T84"/>
    <mergeCell ref="U84:W84"/>
    <mergeCell ref="Z84:AA84"/>
    <mergeCell ref="B85:C85"/>
    <mergeCell ref="D85:M85"/>
    <mergeCell ref="N85:T85"/>
    <mergeCell ref="U85:W85"/>
    <mergeCell ref="Z85:AA85"/>
    <mergeCell ref="B82:C82"/>
    <mergeCell ref="D82:M82"/>
    <mergeCell ref="N82:T82"/>
    <mergeCell ref="U82:W82"/>
    <mergeCell ref="Z82:AA82"/>
    <mergeCell ref="B83:C83"/>
    <mergeCell ref="D83:M83"/>
    <mergeCell ref="N83:T83"/>
    <mergeCell ref="U83:W83"/>
    <mergeCell ref="Z83:AA83"/>
    <mergeCell ref="B80:C80"/>
    <mergeCell ref="D80:M80"/>
    <mergeCell ref="N80:T80"/>
    <mergeCell ref="U80:W80"/>
    <mergeCell ref="Z80:AA80"/>
    <mergeCell ref="B81:C81"/>
    <mergeCell ref="D81:M81"/>
    <mergeCell ref="N81:T81"/>
    <mergeCell ref="U81:W81"/>
    <mergeCell ref="Z81:AA81"/>
    <mergeCell ref="B78:C78"/>
    <mergeCell ref="D78:M78"/>
    <mergeCell ref="N78:T78"/>
    <mergeCell ref="U78:W78"/>
    <mergeCell ref="Z78:AA78"/>
    <mergeCell ref="B79:C79"/>
    <mergeCell ref="D79:M79"/>
    <mergeCell ref="N79:T79"/>
    <mergeCell ref="U79:W79"/>
    <mergeCell ref="Z79:AA79"/>
    <mergeCell ref="B71:H71"/>
    <mergeCell ref="J71:P71"/>
    <mergeCell ref="B75:AA75"/>
    <mergeCell ref="B77:C77"/>
    <mergeCell ref="D77:M77"/>
    <mergeCell ref="N77:T77"/>
    <mergeCell ref="U77:W77"/>
    <mergeCell ref="Z77:AA77"/>
    <mergeCell ref="C65:D65"/>
    <mergeCell ref="F65:J65"/>
    <mergeCell ref="L65:R65"/>
    <mergeCell ref="B67:H67"/>
    <mergeCell ref="J67:P67"/>
    <mergeCell ref="B68:H68"/>
    <mergeCell ref="J68:P68"/>
    <mergeCell ref="B60:C60"/>
    <mergeCell ref="D60:M60"/>
    <mergeCell ref="N60:T60"/>
    <mergeCell ref="U60:W60"/>
    <mergeCell ref="Z60:AA60"/>
    <mergeCell ref="B63:AA63"/>
    <mergeCell ref="B58:C58"/>
    <mergeCell ref="D58:M58"/>
    <mergeCell ref="N58:T58"/>
    <mergeCell ref="U58:W58"/>
    <mergeCell ref="Z58:AA58"/>
    <mergeCell ref="B59:C59"/>
    <mergeCell ref="D59:M59"/>
    <mergeCell ref="N59:T59"/>
    <mergeCell ref="U59:W59"/>
    <mergeCell ref="Z59:AA59"/>
    <mergeCell ref="B56:C56"/>
    <mergeCell ref="D56:M56"/>
    <mergeCell ref="N56:T56"/>
    <mergeCell ref="U56:W56"/>
    <mergeCell ref="Z56:AA56"/>
    <mergeCell ref="B57:C57"/>
    <mergeCell ref="D57:M57"/>
    <mergeCell ref="N57:T57"/>
    <mergeCell ref="U57:W57"/>
    <mergeCell ref="Z57:AA57"/>
    <mergeCell ref="B54:C54"/>
    <mergeCell ref="D54:M54"/>
    <mergeCell ref="N54:T54"/>
    <mergeCell ref="U54:W54"/>
    <mergeCell ref="Z54:AA54"/>
    <mergeCell ref="B55:C55"/>
    <mergeCell ref="D55:M55"/>
    <mergeCell ref="N55:T55"/>
    <mergeCell ref="U55:W55"/>
    <mergeCell ref="Z55:AA55"/>
    <mergeCell ref="B52:C52"/>
    <mergeCell ref="D52:M52"/>
    <mergeCell ref="N52:T52"/>
    <mergeCell ref="U52:W52"/>
    <mergeCell ref="Z52:AA52"/>
    <mergeCell ref="B53:C53"/>
    <mergeCell ref="D53:M53"/>
    <mergeCell ref="N53:T53"/>
    <mergeCell ref="U53:W53"/>
    <mergeCell ref="Z53:AA53"/>
    <mergeCell ref="B50:C50"/>
    <mergeCell ref="D50:M50"/>
    <mergeCell ref="N50:T50"/>
    <mergeCell ref="U50:W50"/>
    <mergeCell ref="Z50:AA50"/>
    <mergeCell ref="B51:C51"/>
    <mergeCell ref="D51:M51"/>
    <mergeCell ref="N51:T51"/>
    <mergeCell ref="U51:W51"/>
    <mergeCell ref="Z51:AA51"/>
    <mergeCell ref="B40:H40"/>
    <mergeCell ref="J40:P40"/>
    <mergeCell ref="B43:H43"/>
    <mergeCell ref="J43:P43"/>
    <mergeCell ref="B47:AA47"/>
    <mergeCell ref="B49:C49"/>
    <mergeCell ref="D49:M49"/>
    <mergeCell ref="N49:T49"/>
    <mergeCell ref="U49:W49"/>
    <mergeCell ref="Z49:AA49"/>
    <mergeCell ref="B35:AA35"/>
    <mergeCell ref="C37:D37"/>
    <mergeCell ref="F37:L37"/>
    <mergeCell ref="M37:S37"/>
    <mergeCell ref="B39:H39"/>
    <mergeCell ref="J39:P39"/>
    <mergeCell ref="B30:C30"/>
    <mergeCell ref="D30:M30"/>
    <mergeCell ref="N30:T30"/>
    <mergeCell ref="U30:W30"/>
    <mergeCell ref="Z30:AA30"/>
    <mergeCell ref="B31:C31"/>
    <mergeCell ref="D31:M31"/>
    <mergeCell ref="N31:T31"/>
    <mergeCell ref="U31:W31"/>
    <mergeCell ref="Z31:AA31"/>
    <mergeCell ref="B28:C28"/>
    <mergeCell ref="D28:M28"/>
    <mergeCell ref="N28:T28"/>
    <mergeCell ref="U28:W28"/>
    <mergeCell ref="Z28:AA28"/>
    <mergeCell ref="B29:C29"/>
    <mergeCell ref="D29:M29"/>
    <mergeCell ref="N29:T29"/>
    <mergeCell ref="U29:W29"/>
    <mergeCell ref="Z29:AA29"/>
    <mergeCell ref="B26:C26"/>
    <mergeCell ref="D26:M26"/>
    <mergeCell ref="N26:T26"/>
    <mergeCell ref="U26:W26"/>
    <mergeCell ref="Z26:AA26"/>
    <mergeCell ref="B27:C27"/>
    <mergeCell ref="D27:M27"/>
    <mergeCell ref="N27:T27"/>
    <mergeCell ref="U27:W27"/>
    <mergeCell ref="Z27:AA27"/>
    <mergeCell ref="B24:C24"/>
    <mergeCell ref="D24:M24"/>
    <mergeCell ref="N24:T24"/>
    <mergeCell ref="U24:W24"/>
    <mergeCell ref="Z24:AA24"/>
    <mergeCell ref="B25:C25"/>
    <mergeCell ref="D25:M25"/>
    <mergeCell ref="N25:T25"/>
    <mergeCell ref="U25:W25"/>
    <mergeCell ref="Z25:AA25"/>
    <mergeCell ref="B22:C22"/>
    <mergeCell ref="D22:M22"/>
    <mergeCell ref="N22:T22"/>
    <mergeCell ref="U22:W22"/>
    <mergeCell ref="Z22:AA22"/>
    <mergeCell ref="B23:C23"/>
    <mergeCell ref="D23:M23"/>
    <mergeCell ref="N23:T23"/>
    <mergeCell ref="U23:W23"/>
    <mergeCell ref="Z23:AA23"/>
    <mergeCell ref="B20:C20"/>
    <mergeCell ref="D20:M20"/>
    <mergeCell ref="N20:T20"/>
    <mergeCell ref="U20:W20"/>
    <mergeCell ref="Z20:AA20"/>
    <mergeCell ref="B21:C21"/>
    <mergeCell ref="D21:M21"/>
    <mergeCell ref="N21:T21"/>
    <mergeCell ref="U21:W21"/>
    <mergeCell ref="Z21:AA21"/>
    <mergeCell ref="B18:C18"/>
    <mergeCell ref="D18:M18"/>
    <mergeCell ref="N18:T18"/>
    <mergeCell ref="U18:W18"/>
    <mergeCell ref="Z18:AA18"/>
    <mergeCell ref="B19:C19"/>
    <mergeCell ref="D19:M19"/>
    <mergeCell ref="N19:T19"/>
    <mergeCell ref="U19:W19"/>
    <mergeCell ref="Z19:AA19"/>
    <mergeCell ref="B16:C16"/>
    <mergeCell ref="D16:M16"/>
    <mergeCell ref="N16:T16"/>
    <mergeCell ref="U16:W16"/>
    <mergeCell ref="Z16:AA16"/>
    <mergeCell ref="B17:C17"/>
    <mergeCell ref="D17:M17"/>
    <mergeCell ref="N17:T17"/>
    <mergeCell ref="U17:W17"/>
    <mergeCell ref="Z17:AA17"/>
    <mergeCell ref="B14:C14"/>
    <mergeCell ref="D14:M14"/>
    <mergeCell ref="N14:T14"/>
    <mergeCell ref="U14:W14"/>
    <mergeCell ref="Z14:AA14"/>
    <mergeCell ref="B15:C15"/>
    <mergeCell ref="D15:M15"/>
    <mergeCell ref="N15:T15"/>
    <mergeCell ref="U15:W15"/>
    <mergeCell ref="Z15:AA15"/>
    <mergeCell ref="B12:C12"/>
    <mergeCell ref="D12:M12"/>
    <mergeCell ref="N12:T12"/>
    <mergeCell ref="U12:W12"/>
    <mergeCell ref="Z12:AA12"/>
    <mergeCell ref="B13:C13"/>
    <mergeCell ref="D13:M13"/>
    <mergeCell ref="N13:T13"/>
    <mergeCell ref="U13:W13"/>
    <mergeCell ref="Z13:AA13"/>
    <mergeCell ref="P1:V1"/>
    <mergeCell ref="R2:U2"/>
    <mergeCell ref="H3:Z3"/>
    <mergeCell ref="A6:AB6"/>
    <mergeCell ref="B9:AA9"/>
    <mergeCell ref="B11:C11"/>
    <mergeCell ref="D11:M11"/>
    <mergeCell ref="N11:T11"/>
    <mergeCell ref="U11:W11"/>
    <mergeCell ref="Z11:AA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Kašpar Jaroslav</cp:lastModifiedBy>
  <cp:lastPrinted>2019-06-12T06:05:06Z</cp:lastPrinted>
  <dcterms:created xsi:type="dcterms:W3CDTF">2019-06-11T20:22:44Z</dcterms:created>
  <dcterms:modified xsi:type="dcterms:W3CDTF">2020-04-14T13:05:12Z</dcterms:modified>
  <cp:category/>
  <cp:version/>
  <cp:contentType/>
  <cp:contentStatus/>
</cp:coreProperties>
</file>